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1"/>
  </bookViews>
  <sheets>
    <sheet name="System Defined" sheetId="1" r:id="rId1"/>
    <sheet name="Calculations" sheetId="2" r:id="rId2"/>
  </sheets>
  <definedNames>
    <definedName name="_xlnm.Print_Area" localSheetId="1">'Calculations'!$A$1:$N$60</definedName>
    <definedName name="_xlnm.Print_Area" localSheetId="0">'System Defined'!$A$1:$V$42</definedName>
  </definedNames>
  <calcPr fullCalcOnLoad="1"/>
</workbook>
</file>

<file path=xl/comments1.xml><?xml version="1.0" encoding="utf-8"?>
<comments xmlns="http://schemas.openxmlformats.org/spreadsheetml/2006/main">
  <authors>
    <author>Hoyle</author>
  </authors>
  <commentList>
    <comment ref="S8" authorId="0">
      <text>
        <r>
          <rPr>
            <b/>
            <sz val="8"/>
            <rFont val="Tahoma"/>
            <family val="2"/>
          </rPr>
          <t xml:space="preserve">
1. Phase Sequence Chosen as {1 2 3}
2. V12 = Line-to-Line volts at 0 degrees   Defined as Reference
3. V23 = Line-to-Line volts at -120 degrees
4. V31 = Line-to-Line volts at 120 degrees
5. V1N = Line-to-Neutral volts at -30 degrees
6. V2N = Line-to-Neutral volts volts at -150 degrees 
7. V3N = Line-to-Neutral volts volts at 90 degrees
8. All Angles Measured Counterclock Wise from Reference V12
    Example, -60 degrees = 300 degrees.
9. Current Directions Assumed as Shown 
10. Enter Load Type Information from Name Plate Data
       a) KW Load: Enter; KW, EFF
       b) KVA Load: Enter; KVA, PF, 
       c) Motor Load: Enter; HP, EFF, PF
11. Must Enter Power Factor (PF) Values with either;
       a) “L” for Lagging Inductive Loads or
       b) “C” for Leading Capacitive Loads
</t>
        </r>
        <r>
          <rPr>
            <b/>
            <sz val="8"/>
            <color indexed="10"/>
            <rFont val="Tahoma"/>
            <family val="2"/>
          </rPr>
          <t>NOTE: To Remove Loads, delete the " load type" information in the  "Type"   
            column cells .  Deleting only the load data causes calculation errors.</t>
        </r>
        <r>
          <rPr>
            <b/>
            <sz val="8"/>
            <rFont val="Tahoma"/>
            <family val="2"/>
          </rPr>
          <t xml:space="preserve">
12. Current Angles measured wrt reference Voltage V12
13. Place curser on cells containing comments for information review
</t>
        </r>
      </text>
    </comment>
  </commentList>
</comments>
</file>

<file path=xl/comments2.xml><?xml version="1.0" encoding="utf-8"?>
<comments xmlns="http://schemas.openxmlformats.org/spreadsheetml/2006/main">
  <authors>
    <author>Hoyle</author>
  </authors>
  <commentList>
    <comment ref="B6" authorId="0">
      <text>
        <r>
          <rPr>
            <b/>
            <sz val="8"/>
            <rFont val="Tahoma"/>
            <family val="2"/>
          </rPr>
          <t xml:space="preserve">Enter Load Type Information from Name Plate Data
    a) KW Load: Enter; KW, EFF
    b) KVA Load: Enter; KVA, PF
    c) Motor Load: Enter; HP, EFF, PF
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2"/>
          </rPr>
          <t>Motor Load: Enter; HP, EFF, PF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2"/>
          </rPr>
          <t>KW Load: Enter; KW, EFF
Note: Some KW output loads may not have EFF
          specified, user may choose any reasonable   
          value</t>
        </r>
      </text>
    </comment>
    <comment ref="E6" authorId="0">
      <text>
        <r>
          <rPr>
            <b/>
            <sz val="8"/>
            <rFont val="Tahoma"/>
            <family val="2"/>
          </rPr>
          <t xml:space="preserve">KVA Load: Enter; KVA, PF
 </t>
        </r>
      </text>
    </comment>
    <comment ref="H6" authorId="0">
      <text>
        <r>
          <rPr>
            <b/>
            <sz val="8"/>
            <rFont val="Tahoma"/>
            <family val="2"/>
          </rPr>
          <t>“L” for lagging Inductive loads
"C” for leading Capacitive loads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Enter Load Type Information from Name Plate Data
    a) KW Load: Enter; KW, EFF
    b) KVA Load: Enter; KVA, PF
    c) Motor Load: Enter; HP, EFF, PF</t>
        </r>
        <r>
          <rPr>
            <sz val="8"/>
            <rFont val="Tahoma"/>
            <family val="0"/>
          </rPr>
          <t xml:space="preserve">
</t>
        </r>
      </text>
    </comment>
    <comment ref="C13" authorId="0">
      <text>
        <r>
          <rPr>
            <b/>
            <sz val="8"/>
            <rFont val="Tahoma"/>
            <family val="2"/>
          </rPr>
          <t>Motor Load: Enter; HP, EFF, PF</t>
        </r>
        <r>
          <rPr>
            <sz val="8"/>
            <rFont val="Tahoma"/>
            <family val="0"/>
          </rPr>
          <t xml:space="preserve">
</t>
        </r>
      </text>
    </comment>
    <comment ref="D13" authorId="0">
      <text>
        <r>
          <rPr>
            <b/>
            <sz val="8"/>
            <rFont val="Tahoma"/>
            <family val="2"/>
          </rPr>
          <t>KW Load: Enter; KW, EFF
Note: Some KW output loads may not have EFF
          specified, user may choose any reasonable   
          value</t>
        </r>
      </text>
    </comment>
    <comment ref="E13" authorId="0">
      <text>
        <r>
          <rPr>
            <b/>
            <sz val="8"/>
            <rFont val="Tahoma"/>
            <family val="2"/>
          </rPr>
          <t>KVA Load: Enter; KVA, PF</t>
        </r>
      </text>
    </comment>
    <comment ref="H13" authorId="0">
      <text>
        <r>
          <rPr>
            <b/>
            <sz val="8"/>
            <rFont val="Tahoma"/>
            <family val="2"/>
          </rPr>
          <t>“L” for lagging Inductive loads
"C” for leading Capacitive loads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2"/>
          </rPr>
          <t>Enter Load Type Information from Name Plate Data
    a) KW Load: Enter; KW, EFF
    b) KVA Load: Enter; KVA, PF
    c) Motor Load: Enter; HP, EFF, PF</t>
        </r>
        <r>
          <rPr>
            <sz val="8"/>
            <rFont val="Tahoma"/>
            <family val="0"/>
          </rPr>
          <t xml:space="preserve">
</t>
        </r>
      </text>
    </comment>
    <comment ref="C20" authorId="0">
      <text>
        <r>
          <rPr>
            <b/>
            <sz val="8"/>
            <rFont val="Tahoma"/>
            <family val="2"/>
          </rPr>
          <t>Motor Load: Enter; HP, EFF, PF</t>
        </r>
        <r>
          <rPr>
            <sz val="8"/>
            <rFont val="Tahoma"/>
            <family val="0"/>
          </rPr>
          <t xml:space="preserve">
</t>
        </r>
      </text>
    </comment>
    <comment ref="D20" authorId="0">
      <text>
        <r>
          <rPr>
            <b/>
            <sz val="8"/>
            <rFont val="Tahoma"/>
            <family val="2"/>
          </rPr>
          <t>KW Load: Enter; KW, EFF
Note: Some KW output loads may not have EFF
          specified, user may choose any reasonable   
          value</t>
        </r>
      </text>
    </comment>
    <comment ref="E20" authorId="0">
      <text>
        <r>
          <rPr>
            <b/>
            <sz val="8"/>
            <rFont val="Tahoma"/>
            <family val="2"/>
          </rPr>
          <t>KVA Load: Enter; KVA, PF</t>
        </r>
      </text>
    </comment>
    <comment ref="H20" authorId="0">
      <text>
        <r>
          <rPr>
            <b/>
            <sz val="8"/>
            <rFont val="Tahoma"/>
            <family val="2"/>
          </rPr>
          <t>“L” for lagging Inductive loads
"C” for leading Capacitive loads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2"/>
          </rPr>
          <t>Enter Load Type Information from Name Plate Data
    a) KW Load: Enter; KW, EFF
    b) KVA Load: Enter; KVA, PF
    c) Motor Load: Enter; HP, EFF, PF</t>
        </r>
        <r>
          <rPr>
            <sz val="8"/>
            <rFont val="Tahoma"/>
            <family val="0"/>
          </rPr>
          <t xml:space="preserve">
</t>
        </r>
      </text>
    </comment>
    <comment ref="C27" authorId="0">
      <text>
        <r>
          <rPr>
            <b/>
            <sz val="8"/>
            <rFont val="Tahoma"/>
            <family val="2"/>
          </rPr>
          <t>Motor Load: Enter; HP, EFF, PF</t>
        </r>
        <r>
          <rPr>
            <sz val="8"/>
            <rFont val="Tahoma"/>
            <family val="0"/>
          </rPr>
          <t xml:space="preserve">
</t>
        </r>
      </text>
    </comment>
    <comment ref="D27" authorId="0">
      <text>
        <r>
          <rPr>
            <b/>
            <sz val="8"/>
            <rFont val="Tahoma"/>
            <family val="2"/>
          </rPr>
          <t>KW Load: Enter; KW, EFF
Note: Some KW output loads may not have EFF
          specified, user may choose any reasonable   
          value</t>
        </r>
      </text>
    </comment>
    <comment ref="E27" authorId="0">
      <text>
        <r>
          <rPr>
            <b/>
            <sz val="8"/>
            <rFont val="Tahoma"/>
            <family val="2"/>
          </rPr>
          <t>KVA Load: Enter; KVA, PF</t>
        </r>
      </text>
    </comment>
    <comment ref="H27" authorId="0">
      <text>
        <r>
          <rPr>
            <b/>
            <sz val="8"/>
            <rFont val="Tahoma"/>
            <family val="2"/>
          </rPr>
          <t>“L” for lagging Inductive loads
"C” for leading Capacitive loads</t>
        </r>
        <r>
          <rPr>
            <sz val="8"/>
            <rFont val="Tahoma"/>
            <family val="0"/>
          </rPr>
          <t xml:space="preserve">
</t>
        </r>
      </text>
    </comment>
    <comment ref="B34" authorId="0">
      <text>
        <r>
          <rPr>
            <b/>
            <sz val="8"/>
            <rFont val="Tahoma"/>
            <family val="2"/>
          </rPr>
          <t>Enter Load Type Information from Name Plate Data
    a) KW Load: Enter; KW, EFF
    b) KVA Load: Enter; KVA, PF
    c) Motor Load: Enter; HP, EFF, PF</t>
        </r>
        <r>
          <rPr>
            <sz val="8"/>
            <rFont val="Tahoma"/>
            <family val="0"/>
          </rPr>
          <t xml:space="preserve">
</t>
        </r>
      </text>
    </comment>
    <comment ref="C34" authorId="0">
      <text>
        <r>
          <rPr>
            <b/>
            <sz val="8"/>
            <rFont val="Tahoma"/>
            <family val="2"/>
          </rPr>
          <t>Motor Load: Enter; HP, EFF, PF</t>
        </r>
        <r>
          <rPr>
            <sz val="8"/>
            <rFont val="Tahoma"/>
            <family val="0"/>
          </rPr>
          <t xml:space="preserve">
</t>
        </r>
      </text>
    </comment>
    <comment ref="D34" authorId="0">
      <text>
        <r>
          <rPr>
            <b/>
            <sz val="8"/>
            <rFont val="Tahoma"/>
            <family val="2"/>
          </rPr>
          <t>KW Load: Enter; KW, EFF
Note: Some KW output loads may not have EFF
          specified, user may choose any reasonable   
          value</t>
        </r>
      </text>
    </comment>
    <comment ref="E34" authorId="0">
      <text>
        <r>
          <rPr>
            <b/>
            <sz val="8"/>
            <rFont val="Tahoma"/>
            <family val="2"/>
          </rPr>
          <t>KVA Load: Enter; KVA, PF</t>
        </r>
      </text>
    </comment>
    <comment ref="H34" authorId="0">
      <text>
        <r>
          <rPr>
            <b/>
            <sz val="8"/>
            <rFont val="Tahoma"/>
            <family val="2"/>
          </rPr>
          <t>“L” for lagging Inductive loads
"C” for leading Capacitive loads</t>
        </r>
        <r>
          <rPr>
            <sz val="8"/>
            <rFont val="Tahoma"/>
            <family val="0"/>
          </rPr>
          <t xml:space="preserve">
</t>
        </r>
      </text>
    </comment>
    <comment ref="B41" authorId="0">
      <text>
        <r>
          <rPr>
            <b/>
            <sz val="8"/>
            <rFont val="Tahoma"/>
            <family val="2"/>
          </rPr>
          <t>Enter Load Type Information from Name Plate Data
    a) KW Load: Enter; KW, EFF
    b) KVA Load: Enter; KVA, PF
    c) Motor Load: Enter; HP, EFF, PF</t>
        </r>
        <r>
          <rPr>
            <sz val="8"/>
            <rFont val="Tahoma"/>
            <family val="0"/>
          </rPr>
          <t xml:space="preserve">
</t>
        </r>
      </text>
    </comment>
    <comment ref="C41" authorId="0">
      <text>
        <r>
          <rPr>
            <b/>
            <sz val="8"/>
            <rFont val="Tahoma"/>
            <family val="2"/>
          </rPr>
          <t>Motor Load: Enter; HP, EFF, PF</t>
        </r>
        <r>
          <rPr>
            <sz val="8"/>
            <rFont val="Tahoma"/>
            <family val="0"/>
          </rPr>
          <t xml:space="preserve">
</t>
        </r>
      </text>
    </comment>
    <comment ref="D41" authorId="0">
      <text>
        <r>
          <rPr>
            <b/>
            <sz val="8"/>
            <rFont val="Tahoma"/>
            <family val="2"/>
          </rPr>
          <t>KW Load: Enter; KW, EFF
Note: Some KW output loads may not have EFF
          specified, user may choose any reasonable   
          value</t>
        </r>
      </text>
    </comment>
    <comment ref="E41" authorId="0">
      <text>
        <r>
          <rPr>
            <b/>
            <sz val="8"/>
            <rFont val="Tahoma"/>
            <family val="2"/>
          </rPr>
          <t>KVA Load: Enter; KVA, PF</t>
        </r>
      </text>
    </comment>
    <comment ref="H41" authorId="0">
      <text>
        <r>
          <rPr>
            <b/>
            <sz val="8"/>
            <rFont val="Tahoma"/>
            <family val="2"/>
          </rPr>
          <t>“L” for lagging Inductive loads
"C” for leading Capacitive loads</t>
        </r>
        <r>
          <rPr>
            <sz val="8"/>
            <rFont val="Tahoma"/>
            <family val="0"/>
          </rPr>
          <t xml:space="preserve">
</t>
        </r>
      </text>
    </comment>
    <comment ref="B48" authorId="0">
      <text>
        <r>
          <rPr>
            <b/>
            <sz val="8"/>
            <rFont val="Tahoma"/>
            <family val="2"/>
          </rPr>
          <t>Enter Load Type Information from Name Plate Data
    a) KW Load: Enter; KW, EFF
    b) KVA Load: Enter; KVA, PF
    c) Motor Load: Enter; HP, EFF, PF</t>
        </r>
        <r>
          <rPr>
            <sz val="8"/>
            <rFont val="Tahoma"/>
            <family val="0"/>
          </rPr>
          <t xml:space="preserve">
</t>
        </r>
      </text>
    </comment>
    <comment ref="C48" authorId="0">
      <text>
        <r>
          <rPr>
            <b/>
            <sz val="8"/>
            <rFont val="Tahoma"/>
            <family val="2"/>
          </rPr>
          <t>Motor Load: Enter; HP, EFF, PF</t>
        </r>
        <r>
          <rPr>
            <sz val="8"/>
            <rFont val="Tahoma"/>
            <family val="0"/>
          </rPr>
          <t xml:space="preserve">
</t>
        </r>
      </text>
    </comment>
    <comment ref="D48" authorId="0">
      <text>
        <r>
          <rPr>
            <b/>
            <sz val="8"/>
            <rFont val="Tahoma"/>
            <family val="2"/>
          </rPr>
          <t>KW Load: Enter; KW, EFF
Note: Some KW output loads may not have EFF
          specified, user may choose any reasonable   
          value</t>
        </r>
      </text>
    </comment>
    <comment ref="E48" authorId="0">
      <text>
        <r>
          <rPr>
            <b/>
            <sz val="8"/>
            <rFont val="Tahoma"/>
            <family val="2"/>
          </rPr>
          <t>KVA Load: Enter; KVA, PF</t>
        </r>
      </text>
    </comment>
    <comment ref="H48" authorId="0">
      <text>
        <r>
          <rPr>
            <b/>
            <sz val="8"/>
            <rFont val="Tahoma"/>
            <family val="2"/>
          </rPr>
          <t>“L” for lagging Inductive loads
"C” for leading Capacitive loads</t>
        </r>
        <r>
          <rPr>
            <sz val="8"/>
            <rFont val="Tahoma"/>
            <family val="0"/>
          </rPr>
          <t xml:space="preserve">
</t>
        </r>
      </text>
    </comment>
    <comment ref="B55" authorId="0">
      <text>
        <r>
          <rPr>
            <b/>
            <sz val="8"/>
            <rFont val="Tahoma"/>
            <family val="2"/>
          </rPr>
          <t>Enter Load Type Information from Name Plate Data
    a) KW Load: Enter; KW, EFF
    b) KVA Load: Enter; KVA, PF
    c) Motor Load: Enter; HP, EFF, PF</t>
        </r>
        <r>
          <rPr>
            <sz val="8"/>
            <rFont val="Tahoma"/>
            <family val="0"/>
          </rPr>
          <t xml:space="preserve">
</t>
        </r>
      </text>
    </comment>
    <comment ref="C55" authorId="0">
      <text>
        <r>
          <rPr>
            <b/>
            <sz val="8"/>
            <rFont val="Tahoma"/>
            <family val="2"/>
          </rPr>
          <t>Motor Load: Enter; HP, EFF, PF</t>
        </r>
        <r>
          <rPr>
            <sz val="8"/>
            <rFont val="Tahoma"/>
            <family val="0"/>
          </rPr>
          <t xml:space="preserve">
</t>
        </r>
      </text>
    </comment>
    <comment ref="D55" authorId="0">
      <text>
        <r>
          <rPr>
            <b/>
            <sz val="8"/>
            <rFont val="Tahoma"/>
            <family val="2"/>
          </rPr>
          <t>KW Load: Enter; KW, EFF
Note: Some KW output loads may not have EFF
          specified, user may choose any reasonable   
          value</t>
        </r>
      </text>
    </comment>
    <comment ref="E55" authorId="0">
      <text>
        <r>
          <rPr>
            <b/>
            <sz val="8"/>
            <rFont val="Tahoma"/>
            <family val="2"/>
          </rPr>
          <t>KVA Load: Enter; KVA, PF</t>
        </r>
      </text>
    </comment>
    <comment ref="H55" authorId="0">
      <text>
        <r>
          <rPr>
            <b/>
            <sz val="8"/>
            <rFont val="Tahoma"/>
            <family val="2"/>
          </rPr>
          <t>“L” for lagging Inductive loads
"C” for leading Capacitive loads</t>
        </r>
        <r>
          <rPr>
            <sz val="8"/>
            <rFont val="Tahoma"/>
            <family val="0"/>
          </rPr>
          <t xml:space="preserve">
</t>
        </r>
      </text>
    </comment>
    <comment ref="C3" authorId="0">
      <text>
        <r>
          <rPr>
            <b/>
            <sz val="8"/>
            <rFont val="Tahoma"/>
            <family val="2"/>
          </rPr>
          <t>Enter System Voltage V12, Line to Line</t>
        </r>
        <r>
          <rPr>
            <sz val="8"/>
            <rFont val="Tahoma"/>
            <family val="0"/>
          </rPr>
          <t xml:space="preserve">
</t>
        </r>
      </text>
    </comment>
    <comment ref="B19" authorId="0">
      <text>
        <r>
          <rPr>
            <b/>
            <sz val="8"/>
            <rFont val="Tahoma"/>
            <family val="2"/>
          </rPr>
          <t>For 3-phase 3-wire Delta systems,
enter "zero" for load data</t>
        </r>
        <r>
          <rPr>
            <sz val="8"/>
            <rFont val="Tahoma"/>
            <family val="0"/>
          </rPr>
          <t xml:space="preserve">
</t>
        </r>
      </text>
    </comment>
    <comment ref="B26" authorId="0">
      <text>
        <r>
          <rPr>
            <b/>
            <sz val="8"/>
            <rFont val="Tahoma"/>
            <family val="2"/>
          </rPr>
          <t>For 3-phase 3-wire Delta systems,
enter "zero" for load data</t>
        </r>
        <r>
          <rPr>
            <sz val="8"/>
            <rFont val="Tahoma"/>
            <family val="0"/>
          </rPr>
          <t xml:space="preserve">
</t>
        </r>
      </text>
    </comment>
    <comment ref="B33" authorId="0">
      <text>
        <r>
          <rPr>
            <b/>
            <sz val="8"/>
            <rFont val="Tahoma"/>
            <family val="2"/>
          </rPr>
          <t>For 3-phase 3-wire Delta systems,
enter "zero" for load data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<sst xmlns="http://schemas.openxmlformats.org/spreadsheetml/2006/main" count="409" uniqueCount="127">
  <si>
    <t>Type</t>
  </si>
  <si>
    <t>HP</t>
  </si>
  <si>
    <t>KVA</t>
  </si>
  <si>
    <t>EFF</t>
  </si>
  <si>
    <t>KW</t>
  </si>
  <si>
    <t>Input</t>
  </si>
  <si>
    <t xml:space="preserve"> </t>
  </si>
  <si>
    <t>I or C</t>
  </si>
  <si>
    <t>L</t>
  </si>
  <si>
    <t>0 to 1</t>
  </si>
  <si>
    <t xml:space="preserve">         PF</t>
  </si>
  <si>
    <t>%</t>
  </si>
  <si>
    <t xml:space="preserve">      I1 phasor</t>
  </si>
  <si>
    <t xml:space="preserve">      I2 phasor</t>
  </si>
  <si>
    <t>Angle</t>
  </si>
  <si>
    <t xml:space="preserve">   </t>
  </si>
  <si>
    <t xml:space="preserve">   Output</t>
  </si>
  <si>
    <t xml:space="preserve">  Line to Line</t>
  </si>
  <si>
    <t>Load #</t>
  </si>
  <si>
    <t>RMS</t>
  </si>
  <si>
    <t xml:space="preserve">Defines an unbalanced </t>
  </si>
  <si>
    <t>3-Phase Delta System</t>
  </si>
  <si>
    <t xml:space="preserve">Individual Single Phase </t>
  </si>
  <si>
    <t>Wye          Delta</t>
  </si>
  <si>
    <t>3-Phase System Volts</t>
  </si>
  <si>
    <t xml:space="preserve">      I3 phasor</t>
  </si>
  <si>
    <t>Real</t>
  </si>
  <si>
    <t>Line Voltage V12 Chosen as Reference</t>
  </si>
  <si>
    <t xml:space="preserve">  Three-Phase Voltage Vector System</t>
  </si>
  <si>
    <t>L1-N Loads</t>
  </si>
  <si>
    <t>L2-N Loads</t>
  </si>
  <si>
    <t>L3-N Loads</t>
  </si>
  <si>
    <t xml:space="preserve">  L1-L2 Loads </t>
  </si>
  <si>
    <t xml:space="preserve">  L2-L3 Loads </t>
  </si>
  <si>
    <t xml:space="preserve">  L3-L1 Loads </t>
  </si>
  <si>
    <t>Totals</t>
  </si>
  <si>
    <t>Line to Neutral</t>
  </si>
  <si>
    <t>jImg</t>
  </si>
  <si>
    <t>I1   3-Phase Balanced Wye</t>
  </si>
  <si>
    <t>I1  3-Phase Balanced Delta</t>
  </si>
  <si>
    <t>Total System Power Triangle</t>
  </si>
  <si>
    <t>I3-N  Single Phase 120-volt</t>
  </si>
  <si>
    <t>I2-N  Single Phase 120-volt</t>
  </si>
  <si>
    <t>I1-N  Single Phase 120-volt</t>
  </si>
  <si>
    <t>I12  Single Phase 208-volt</t>
  </si>
  <si>
    <t>I23  Single Phase 208-volt</t>
  </si>
  <si>
    <t>I3I  Single Phase 208-volt</t>
  </si>
  <si>
    <t xml:space="preserve">     Place Curser for Information-Instructions: </t>
  </si>
  <si>
    <t>3-Phase Wye System</t>
  </si>
  <si>
    <t xml:space="preserve">      System Results</t>
  </si>
  <si>
    <t>Item</t>
  </si>
  <si>
    <t>I1</t>
  </si>
  <si>
    <t>I2</t>
  </si>
  <si>
    <t>In</t>
  </si>
  <si>
    <t xml:space="preserve">P </t>
  </si>
  <si>
    <t>Q</t>
  </si>
  <si>
    <t>VA</t>
  </si>
  <si>
    <t>PF</t>
  </si>
  <si>
    <t>Units</t>
  </si>
  <si>
    <t>A rms</t>
  </si>
  <si>
    <t>KVAR</t>
  </si>
  <si>
    <t>none</t>
  </si>
  <si>
    <t>Value</t>
  </si>
  <si>
    <t>Angle°</t>
  </si>
  <si>
    <t>System Total Line Currents</t>
  </si>
  <si>
    <t>I3</t>
  </si>
  <si>
    <t>Mag</t>
  </si>
  <si>
    <t>Line Currents for Unbalanced Line-Line Delta Loads</t>
  </si>
  <si>
    <t>I1=I12+ I13</t>
  </si>
  <si>
    <t>I2=I23+ I21</t>
  </si>
  <si>
    <t>I3=I31+ I32</t>
  </si>
  <si>
    <t>I12  Totals</t>
  </si>
  <si>
    <t>I23  Totals</t>
  </si>
  <si>
    <t>I31  Totals</t>
  </si>
  <si>
    <t>I3N  Totals</t>
  </si>
  <si>
    <t>I2N  Totals</t>
  </si>
  <si>
    <t>I1N  Totals</t>
  </si>
  <si>
    <r>
      <t xml:space="preserve">  I1</t>
    </r>
    <r>
      <rPr>
        <sz val="8"/>
        <rFont val="Arial"/>
        <family val="2"/>
      </rPr>
      <t>=I12- I31</t>
    </r>
  </si>
  <si>
    <r>
      <t xml:space="preserve">  I2</t>
    </r>
    <r>
      <rPr>
        <sz val="8"/>
        <rFont val="Arial"/>
        <family val="2"/>
      </rPr>
      <t>=I23- I12</t>
    </r>
  </si>
  <si>
    <r>
      <t xml:space="preserve">  I3</t>
    </r>
    <r>
      <rPr>
        <sz val="8"/>
        <rFont val="Arial"/>
        <family val="2"/>
      </rPr>
      <t>=I31- I23</t>
    </r>
  </si>
  <si>
    <t>I2   3-Phase Balanced Wye</t>
  </si>
  <si>
    <t>I3   3-Phase Balanced Wye</t>
  </si>
  <si>
    <t>I2  3-Phase Balanced Delta</t>
  </si>
  <si>
    <t>I3  3-Phase Balanced Delta</t>
  </si>
  <si>
    <t>IN</t>
  </si>
  <si>
    <t>Arms</t>
  </si>
  <si>
    <t xml:space="preserve">  3-Phase  Wye</t>
  </si>
  <si>
    <t xml:space="preserve">  3-Phase  Delta</t>
  </si>
  <si>
    <t>I1+ I2 + I3</t>
  </si>
  <si>
    <t xml:space="preserve">IN=0 check </t>
  </si>
  <si>
    <t>P-wye</t>
  </si>
  <si>
    <t>Q-wye</t>
  </si>
  <si>
    <t>P-Delta</t>
  </si>
  <si>
    <t>Q-Delta</t>
  </si>
  <si>
    <t>P-1N</t>
  </si>
  <si>
    <t>Q-1N</t>
  </si>
  <si>
    <t>P-2N</t>
  </si>
  <si>
    <t>Q-2N</t>
  </si>
  <si>
    <t>P-3N</t>
  </si>
  <si>
    <t>Q-3N</t>
  </si>
  <si>
    <t>(VI*)</t>
  </si>
  <si>
    <t>P-12</t>
  </si>
  <si>
    <t>Q-12</t>
  </si>
  <si>
    <t>P-23</t>
  </si>
  <si>
    <t>Q-23</t>
  </si>
  <si>
    <t>P-31</t>
  </si>
  <si>
    <t>Q-31</t>
  </si>
  <si>
    <t>Line Current Calculator for Three Phase  Systems            See  Dataforth  AN110 for Reference</t>
  </si>
  <si>
    <t xml:space="preserve">Three-Phase 4-wire Wye System with; </t>
  </si>
  <si>
    <t xml:space="preserve">  2.  Individual single-phase line-to-line loads</t>
  </si>
  <si>
    <t xml:space="preserve">  1.  Individual single-phase  line-to-neutral loads </t>
  </si>
  <si>
    <t xml:space="preserve">  3.  Individual  balanced 3-phase wye loads</t>
  </si>
  <si>
    <t xml:space="preserve">  4.  Individual  balanced 3-phase delta loads.</t>
  </si>
  <si>
    <t>Line-to Neutral Loads</t>
  </si>
  <si>
    <t>Line-to-Line Loads</t>
  </si>
  <si>
    <t xml:space="preserve">Single Phase </t>
  </si>
  <si>
    <t>Balanced  3-Phase Loads</t>
  </si>
  <si>
    <t xml:space="preserve">    </t>
  </si>
  <si>
    <t>(VI*)3^0.5</t>
  </si>
  <si>
    <t>kw</t>
  </si>
  <si>
    <t>R, X = 0 Test</t>
  </si>
  <si>
    <t>C</t>
  </si>
  <si>
    <t xml:space="preserve">  </t>
  </si>
  <si>
    <t>R,X = 0 Test</t>
  </si>
  <si>
    <t>kva</t>
  </si>
  <si>
    <t>motor</t>
  </si>
  <si>
    <t xml:space="preserve">      System  Calculation  Results: Sequence {1 2 3}   V12 at zero degrees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</si>
</sst>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  <numFmt numFmtId="169" formatCode="0.0000"/>
    <numFmt numFmtId="170" formatCode="0.000000"/>
    <numFmt numFmtId="171" formatCode="0.00_);[Red]\(0.00\)"/>
    <numFmt numFmtId="172" formatCode="0.00000"/>
    <numFmt numFmtId="173" formatCode="0.0E+00"/>
    <numFmt numFmtId="174" formatCode="0.00000000000000000000000000"/>
  </numFmts>
  <fonts count="1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Tahoma"/>
      <family val="2"/>
    </font>
    <font>
      <sz val="6"/>
      <name val="Arial"/>
      <family val="2"/>
    </font>
    <font>
      <b/>
      <sz val="6"/>
      <name val="Arial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center"/>
      <protection locked="0"/>
    </xf>
    <xf numFmtId="168" fontId="4" fillId="0" borderId="1" xfId="0" applyNumberFormat="1" applyFont="1" applyBorder="1" applyAlignment="1" applyProtection="1">
      <alignment horizontal="center"/>
      <protection locked="0"/>
    </xf>
    <xf numFmtId="168" fontId="4" fillId="0" borderId="2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164" fontId="0" fillId="2" borderId="2" xfId="0" applyNumberForma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left"/>
      <protection hidden="1"/>
    </xf>
    <xf numFmtId="0" fontId="0" fillId="0" borderId="5" xfId="0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0" fillId="0" borderId="5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2" fillId="0" borderId="1" xfId="0" applyFont="1" applyBorder="1" applyAlignment="1" applyProtection="1">
      <alignment horizontal="center"/>
      <protection hidden="1"/>
    </xf>
    <xf numFmtId="2" fontId="2" fillId="0" borderId="1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2" fontId="2" fillId="0" borderId="2" xfId="0" applyNumberFormat="1" applyFont="1" applyBorder="1" applyAlignment="1" applyProtection="1">
      <alignment horizontal="center"/>
      <protection hidden="1"/>
    </xf>
    <xf numFmtId="164" fontId="4" fillId="0" borderId="2" xfId="0" applyNumberFormat="1" applyFont="1" applyBorder="1" applyAlignment="1" applyProtection="1">
      <alignment horizontal="center"/>
      <protection hidden="1"/>
    </xf>
    <xf numFmtId="168" fontId="4" fillId="0" borderId="2" xfId="0" applyNumberFormat="1" applyFont="1" applyBorder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2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168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1" fontId="2" fillId="0" borderId="0" xfId="0" applyNumberFormat="1" applyFont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left"/>
      <protection hidden="1"/>
    </xf>
    <xf numFmtId="164" fontId="2" fillId="0" borderId="0" xfId="0" applyNumberFormat="1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168" fontId="0" fillId="0" borderId="0" xfId="0" applyNumberFormat="1" applyAlignment="1" applyProtection="1">
      <alignment/>
      <protection hidden="1"/>
    </xf>
    <xf numFmtId="168" fontId="0" fillId="0" borderId="0" xfId="0" applyNumberFormat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left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/>
      <protection hidden="1"/>
    </xf>
    <xf numFmtId="169" fontId="0" fillId="0" borderId="0" xfId="0" applyNumberFormat="1" applyAlignment="1" applyProtection="1">
      <alignment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8" fontId="4" fillId="0" borderId="0" xfId="0" applyNumberFormat="1" applyFont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left"/>
      <protection hidden="1"/>
    </xf>
    <xf numFmtId="0" fontId="2" fillId="0" borderId="3" xfId="0" applyFont="1" applyBorder="1" applyAlignment="1" applyProtection="1">
      <alignment horizontal="right"/>
      <protection hidden="1"/>
    </xf>
    <xf numFmtId="1" fontId="2" fillId="0" borderId="3" xfId="0" applyNumberFormat="1" applyFont="1" applyBorder="1" applyAlignment="1" applyProtection="1">
      <alignment horizontal="center"/>
      <protection hidden="1"/>
    </xf>
    <xf numFmtId="168" fontId="13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168" fontId="9" fillId="0" borderId="0" xfId="0" applyNumberFormat="1" applyFont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left"/>
      <protection hidden="1"/>
    </xf>
    <xf numFmtId="168" fontId="2" fillId="0" borderId="5" xfId="0" applyNumberFormat="1" applyFont="1" applyBorder="1" applyAlignment="1" applyProtection="1">
      <alignment horizontal="left"/>
      <protection hidden="1"/>
    </xf>
    <xf numFmtId="2" fontId="0" fillId="0" borderId="3" xfId="0" applyNumberFormat="1" applyBorder="1" applyAlignment="1" applyProtection="1">
      <alignment horizontal="left"/>
      <protection hidden="1"/>
    </xf>
    <xf numFmtId="164" fontId="2" fillId="0" borderId="3" xfId="0" applyNumberFormat="1" applyFont="1" applyBorder="1" applyAlignment="1" applyProtection="1">
      <alignment horizontal="left"/>
      <protection hidden="1"/>
    </xf>
    <xf numFmtId="164" fontId="2" fillId="0" borderId="2" xfId="0" applyNumberFormat="1" applyFont="1" applyBorder="1" applyAlignment="1" applyProtection="1">
      <alignment horizontal="center"/>
      <protection hidden="1"/>
    </xf>
    <xf numFmtId="164" fontId="2" fillId="0" borderId="2" xfId="0" applyNumberFormat="1" applyFont="1" applyBorder="1" applyAlignment="1" applyProtection="1">
      <alignment horizontal="left"/>
      <protection hidden="1"/>
    </xf>
    <xf numFmtId="168" fontId="2" fillId="0" borderId="4" xfId="0" applyNumberFormat="1" applyFont="1" applyBorder="1" applyAlignment="1" applyProtection="1">
      <alignment horizontal="left"/>
      <protection hidden="1"/>
    </xf>
    <xf numFmtId="168" fontId="4" fillId="0" borderId="3" xfId="0" applyNumberFormat="1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168" fontId="2" fillId="0" borderId="12" xfId="0" applyNumberFormat="1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164" fontId="2" fillId="0" borderId="13" xfId="0" applyNumberFormat="1" applyFont="1" applyBorder="1" applyAlignment="1" applyProtection="1">
      <alignment horizontal="center"/>
      <protection hidden="1"/>
    </xf>
    <xf numFmtId="164" fontId="2" fillId="0" borderId="12" xfId="0" applyNumberFormat="1" applyFont="1" applyBorder="1" applyAlignment="1" applyProtection="1">
      <alignment horizontal="center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168" fontId="2" fillId="0" borderId="2" xfId="0" applyNumberFormat="1" applyFont="1" applyBorder="1" applyAlignment="1" applyProtection="1">
      <alignment horizontal="center"/>
      <protection hidden="1"/>
    </xf>
    <xf numFmtId="164" fontId="4" fillId="0" borderId="1" xfId="0" applyNumberFormat="1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168" fontId="0" fillId="0" borderId="4" xfId="0" applyNumberFormat="1" applyBorder="1" applyAlignment="1" applyProtection="1">
      <alignment/>
      <protection hidden="1"/>
    </xf>
    <xf numFmtId="2" fontId="2" fillId="0" borderId="3" xfId="0" applyNumberFormat="1" applyFont="1" applyFill="1" applyBorder="1" applyAlignment="1" applyProtection="1">
      <alignment horizontal="right"/>
      <protection hidden="1"/>
    </xf>
    <xf numFmtId="164" fontId="4" fillId="0" borderId="3" xfId="0" applyNumberFormat="1" applyFont="1" applyFill="1" applyBorder="1" applyAlignment="1" applyProtection="1">
      <alignment horizontal="center"/>
      <protection hidden="1"/>
    </xf>
    <xf numFmtId="164" fontId="4" fillId="0" borderId="2" xfId="0" applyNumberFormat="1" applyFont="1" applyFill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right"/>
      <protection hidden="1"/>
    </xf>
    <xf numFmtId="168" fontId="0" fillId="0" borderId="0" xfId="0" applyNumberFormat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right"/>
      <protection hidden="1"/>
    </xf>
    <xf numFmtId="164" fontId="4" fillId="0" borderId="0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Alignment="1" applyProtection="1">
      <alignment/>
      <protection hidden="1"/>
    </xf>
    <xf numFmtId="168" fontId="12" fillId="0" borderId="0" xfId="0" applyNumberFormat="1" applyFont="1" applyAlignment="1" applyProtection="1">
      <alignment horizontal="center"/>
      <protection hidden="1"/>
    </xf>
    <xf numFmtId="164" fontId="4" fillId="3" borderId="14" xfId="0" applyNumberFormat="1" applyFont="1" applyFill="1" applyBorder="1" applyAlignment="1" applyProtection="1">
      <alignment horizontal="center"/>
      <protection hidden="1"/>
    </xf>
    <xf numFmtId="164" fontId="4" fillId="3" borderId="0" xfId="0" applyNumberFormat="1" applyFont="1" applyFill="1" applyBorder="1" applyAlignment="1" applyProtection="1">
      <alignment horizontal="center"/>
      <protection hidden="1"/>
    </xf>
    <xf numFmtId="164" fontId="4" fillId="3" borderId="15" xfId="0" applyNumberFormat="1" applyFont="1" applyFill="1" applyBorder="1" applyAlignment="1" applyProtection="1">
      <alignment horizontal="center"/>
      <protection hidden="1"/>
    </xf>
    <xf numFmtId="164" fontId="4" fillId="3" borderId="16" xfId="0" applyNumberFormat="1" applyFont="1" applyFill="1" applyBorder="1" applyAlignment="1" applyProtection="1">
      <alignment horizontal="center"/>
      <protection hidden="1"/>
    </xf>
    <xf numFmtId="164" fontId="4" fillId="3" borderId="17" xfId="0" applyNumberFormat="1" applyFont="1" applyFill="1" applyBorder="1" applyAlignment="1" applyProtection="1">
      <alignment horizontal="center"/>
      <protection hidden="1"/>
    </xf>
    <xf numFmtId="164" fontId="4" fillId="3" borderId="18" xfId="0" applyNumberFormat="1" applyFont="1" applyFill="1" applyBorder="1" applyAlignment="1" applyProtection="1">
      <alignment horizontal="center"/>
      <protection hidden="1"/>
    </xf>
    <xf numFmtId="168" fontId="4" fillId="0" borderId="0" xfId="0" applyNumberFormat="1" applyFont="1" applyFill="1" applyBorder="1" applyAlignment="1" applyProtection="1">
      <alignment horizontal="center"/>
      <protection hidden="1"/>
    </xf>
    <xf numFmtId="164" fontId="4" fillId="0" borderId="18" xfId="0" applyNumberFormat="1" applyFont="1" applyBorder="1" applyAlignment="1" applyProtection="1">
      <alignment horizontal="center"/>
      <protection hidden="1"/>
    </xf>
    <xf numFmtId="164" fontId="4" fillId="0" borderId="16" xfId="0" applyNumberFormat="1" applyFont="1" applyBorder="1" applyAlignment="1" applyProtection="1">
      <alignment horizontal="center"/>
      <protection hidden="1"/>
    </xf>
    <xf numFmtId="2" fontId="2" fillId="0" borderId="5" xfId="0" applyNumberFormat="1" applyFont="1" applyFill="1" applyBorder="1" applyAlignment="1" applyProtection="1">
      <alignment horizontal="right"/>
      <protection hidden="1"/>
    </xf>
    <xf numFmtId="0" fontId="0" fillId="3" borderId="16" xfId="0" applyFill="1" applyBorder="1" applyAlignment="1" applyProtection="1">
      <alignment/>
      <protection hidden="1"/>
    </xf>
    <xf numFmtId="0" fontId="0" fillId="3" borderId="18" xfId="0" applyFill="1" applyBorder="1" applyAlignment="1" applyProtection="1">
      <alignment/>
      <protection hidden="1"/>
    </xf>
    <xf numFmtId="0" fontId="0" fillId="3" borderId="17" xfId="0" applyFill="1" applyBorder="1" applyAlignment="1" applyProtection="1">
      <alignment/>
      <protection hidden="1"/>
    </xf>
    <xf numFmtId="164" fontId="4" fillId="0" borderId="4" xfId="0" applyNumberFormat="1" applyFont="1" applyBorder="1" applyAlignment="1" applyProtection="1">
      <alignment horizontal="center"/>
      <protection hidden="1"/>
    </xf>
    <xf numFmtId="168" fontId="1" fillId="0" borderId="0" xfId="0" applyNumberFormat="1" applyFont="1" applyAlignment="1" applyProtection="1">
      <alignment horizontal="center"/>
      <protection hidden="1"/>
    </xf>
    <xf numFmtId="168" fontId="2" fillId="0" borderId="19" xfId="0" applyNumberFormat="1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164" fontId="4" fillId="0" borderId="3" xfId="0" applyNumberFormat="1" applyFont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21</xdr:col>
      <xdr:colOff>428625</xdr:colOff>
      <xdr:row>3</xdr:row>
      <xdr:rowOff>142875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8362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7</xdr:row>
      <xdr:rowOff>76200</xdr:rowOff>
    </xdr:from>
    <xdr:to>
      <xdr:col>17</xdr:col>
      <xdr:colOff>333375</xdr:colOff>
      <xdr:row>7</xdr:row>
      <xdr:rowOff>76200</xdr:rowOff>
    </xdr:to>
    <xdr:sp>
      <xdr:nvSpPr>
        <xdr:cNvPr id="2" name="Line 53"/>
        <xdr:cNvSpPr>
          <a:spLocks/>
        </xdr:cNvSpPr>
      </xdr:nvSpPr>
      <xdr:spPr>
        <a:xfrm>
          <a:off x="6010275" y="1247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V115"/>
  <sheetViews>
    <sheetView zoomScaleSheetLayoutView="50" workbookViewId="0" topLeftCell="A1">
      <selection activeCell="N14" sqref="N14"/>
    </sheetView>
  </sheetViews>
  <sheetFormatPr defaultColWidth="9.140625" defaultRowHeight="12.75"/>
  <cols>
    <col min="1" max="1" width="6.57421875" style="8" customWidth="1"/>
    <col min="2" max="2" width="8.140625" style="9" customWidth="1"/>
    <col min="3" max="4" width="4.28125" style="9" customWidth="1"/>
    <col min="5" max="5" width="5.28125" style="9" customWidth="1"/>
    <col min="6" max="6" width="4.7109375" style="9" customWidth="1"/>
    <col min="7" max="7" width="5.28125" style="9" customWidth="1"/>
    <col min="8" max="8" width="4.57421875" style="10" customWidth="1"/>
    <col min="9" max="11" width="4.7109375" style="11" customWidth="1"/>
    <col min="12" max="12" width="5.00390625" style="9" customWidth="1"/>
    <col min="13" max="13" width="6.7109375" style="9" customWidth="1"/>
    <col min="14" max="14" width="6.57421875" style="9" customWidth="1"/>
    <col min="15" max="21" width="6.57421875" style="8" customWidth="1"/>
    <col min="22" max="22" width="9.140625" style="8" customWidth="1"/>
    <col min="23" max="24" width="9.140625" style="10" customWidth="1"/>
    <col min="25" max="16384" width="9.140625" style="8" customWidth="1"/>
  </cols>
  <sheetData>
    <row r="1" ht="12.75"/>
    <row r="2" ht="12.75"/>
    <row r="3" ht="12.75"/>
    <row r="4" ht="12.75"/>
    <row r="5" ht="12.75"/>
    <row r="6" spans="1:2" ht="15.75">
      <c r="A6" s="7" t="s">
        <v>107</v>
      </c>
      <c r="B6" s="8"/>
    </row>
    <row r="7" spans="3:11" ht="12.75">
      <c r="C7" s="8"/>
      <c r="D7" s="8"/>
      <c r="E7" s="12"/>
      <c r="F7" s="8"/>
      <c r="G7" s="8"/>
      <c r="H7" s="8"/>
      <c r="J7" s="8"/>
      <c r="K7" s="8"/>
    </row>
    <row r="8" spans="1:20" ht="12.75">
      <c r="A8" s="13" t="s">
        <v>108</v>
      </c>
      <c r="B8" s="14"/>
      <c r="C8" s="14"/>
      <c r="D8" s="13"/>
      <c r="E8" s="13"/>
      <c r="F8" s="15"/>
      <c r="G8" s="15"/>
      <c r="H8" s="13"/>
      <c r="I8" s="16"/>
      <c r="J8" s="17" t="s">
        <v>47</v>
      </c>
      <c r="K8" s="8"/>
      <c r="L8" s="13"/>
      <c r="M8" s="13"/>
      <c r="N8" s="8"/>
      <c r="O8" s="9"/>
      <c r="P8" s="9"/>
      <c r="Q8" s="10"/>
      <c r="R8" s="11"/>
      <c r="S8" s="18"/>
      <c r="T8" s="19"/>
    </row>
    <row r="9" spans="1:22" ht="12.75">
      <c r="A9" s="20" t="s">
        <v>110</v>
      </c>
      <c r="B9" s="21"/>
      <c r="C9" s="21"/>
      <c r="D9" s="21"/>
      <c r="E9" s="21"/>
      <c r="F9" s="21"/>
      <c r="G9" s="21"/>
      <c r="H9" s="22"/>
      <c r="I9" s="23"/>
      <c r="P9" s="24"/>
      <c r="Q9" s="24"/>
      <c r="R9" s="24"/>
      <c r="S9" s="24"/>
      <c r="T9" s="19"/>
      <c r="V9" s="8" t="s">
        <v>6</v>
      </c>
    </row>
    <row r="10" spans="1:21" ht="12.75">
      <c r="A10" s="20" t="s">
        <v>109</v>
      </c>
      <c r="B10" s="21"/>
      <c r="C10" s="21"/>
      <c r="D10" s="20"/>
      <c r="E10" s="21"/>
      <c r="F10" s="20"/>
      <c r="G10" s="20"/>
      <c r="H10" s="22"/>
      <c r="I10" s="23"/>
      <c r="J10" s="16"/>
      <c r="K10" s="16"/>
      <c r="L10" s="14"/>
      <c r="M10" s="25" t="s">
        <v>126</v>
      </c>
      <c r="N10" s="26"/>
      <c r="O10" s="27"/>
      <c r="P10" s="28"/>
      <c r="Q10" s="27"/>
      <c r="R10" s="27"/>
      <c r="S10" s="27"/>
      <c r="T10" s="27"/>
      <c r="U10" s="29"/>
    </row>
    <row r="11" spans="1:21" ht="12.75">
      <c r="A11" s="20" t="s">
        <v>111</v>
      </c>
      <c r="B11" s="21"/>
      <c r="C11" s="21"/>
      <c r="D11" s="20"/>
      <c r="E11" s="21"/>
      <c r="F11" s="20"/>
      <c r="G11" s="20"/>
      <c r="H11" s="22"/>
      <c r="I11" s="23"/>
      <c r="J11" s="16"/>
      <c r="K11" s="16"/>
      <c r="L11" s="14"/>
      <c r="M11" s="30" t="s">
        <v>50</v>
      </c>
      <c r="N11" s="30" t="s">
        <v>51</v>
      </c>
      <c r="O11" s="30" t="s">
        <v>52</v>
      </c>
      <c r="P11" s="21" t="s">
        <v>65</v>
      </c>
      <c r="Q11" s="30" t="s">
        <v>53</v>
      </c>
      <c r="R11" s="30" t="s">
        <v>54</v>
      </c>
      <c r="S11" s="30" t="s">
        <v>55</v>
      </c>
      <c r="T11" s="31" t="s">
        <v>56</v>
      </c>
      <c r="U11" s="30" t="s">
        <v>57</v>
      </c>
    </row>
    <row r="12" spans="1:21" ht="12.75">
      <c r="A12" s="20" t="s">
        <v>112</v>
      </c>
      <c r="B12" s="32"/>
      <c r="C12" s="32"/>
      <c r="D12" s="32"/>
      <c r="E12" s="32"/>
      <c r="F12" s="32"/>
      <c r="G12" s="32"/>
      <c r="H12" s="33"/>
      <c r="I12" s="34"/>
      <c r="J12" s="16"/>
      <c r="K12" s="16"/>
      <c r="L12" s="14"/>
      <c r="M12" s="35" t="s">
        <v>58</v>
      </c>
      <c r="N12" s="35" t="s">
        <v>59</v>
      </c>
      <c r="O12" s="35" t="s">
        <v>59</v>
      </c>
      <c r="P12" s="35" t="s">
        <v>59</v>
      </c>
      <c r="Q12" s="35" t="s">
        <v>59</v>
      </c>
      <c r="R12" s="35" t="s">
        <v>4</v>
      </c>
      <c r="S12" s="35" t="s">
        <v>60</v>
      </c>
      <c r="T12" s="36" t="s">
        <v>2</v>
      </c>
      <c r="U12" s="35" t="s">
        <v>61</v>
      </c>
    </row>
    <row r="13" spans="10:74" ht="12.75">
      <c r="J13" s="16"/>
      <c r="K13" s="16"/>
      <c r="L13" s="14"/>
      <c r="M13" s="35" t="s">
        <v>62</v>
      </c>
      <c r="N13" s="37">
        <f>Calculations!S70</f>
        <v>320.60432275031985</v>
      </c>
      <c r="O13" s="37">
        <f>Calculations!S71</f>
        <v>324.8580680170489</v>
      </c>
      <c r="P13" s="37">
        <f>Calculations!S72</f>
        <v>389.0916262004826</v>
      </c>
      <c r="Q13" s="37">
        <f>Calculations!S73</f>
        <v>89.55045993051272</v>
      </c>
      <c r="R13" s="37">
        <f>Calculations!U78</f>
        <v>118.66733151858166</v>
      </c>
      <c r="S13" s="37">
        <f>Calculations!V78</f>
        <v>36.28691202243138</v>
      </c>
      <c r="T13" s="37">
        <f>Calculations!W78</f>
        <v>124.09139999961576</v>
      </c>
      <c r="U13" s="38">
        <f>Calculations!X78</f>
        <v>0.9562897309479069</v>
      </c>
      <c r="BQ13" s="9"/>
      <c r="BR13" s="9"/>
      <c r="BS13" s="9"/>
      <c r="BT13" s="10"/>
      <c r="BU13" s="11"/>
      <c r="BV13" s="11"/>
    </row>
    <row r="14" spans="1:74" ht="12.75">
      <c r="A14" s="13"/>
      <c r="D14" s="8"/>
      <c r="F14" s="8"/>
      <c r="G14" s="8"/>
      <c r="K14" s="34"/>
      <c r="M14" s="35" t="s">
        <v>63</v>
      </c>
      <c r="N14" s="37">
        <f>Calculations!T70</f>
        <v>-43.193799087773144</v>
      </c>
      <c r="O14" s="37">
        <f>Calculations!T71</f>
        <v>-167.2358964278427</v>
      </c>
      <c r="P14" s="37">
        <f>Calculations!T72</f>
        <v>70.05390249592682</v>
      </c>
      <c r="Q14" s="37">
        <f>Calculations!T73</f>
        <v>56.33794555263921</v>
      </c>
      <c r="R14" s="37">
        <f>Calculations!U79</f>
        <v>0</v>
      </c>
      <c r="S14" s="37">
        <f>Calculations!V79</f>
        <v>90</v>
      </c>
      <c r="T14" s="37">
        <f>Calculations!W79</f>
        <v>17.002944189198285</v>
      </c>
      <c r="U14" s="37" t="str">
        <f>Calculations!X79</f>
        <v>LAG</v>
      </c>
      <c r="BV14" s="11"/>
    </row>
    <row r="15" spans="1:74" ht="12.75">
      <c r="A15" s="13"/>
      <c r="D15" s="8"/>
      <c r="F15" s="8"/>
      <c r="G15" s="8"/>
      <c r="I15" s="39" t="s">
        <v>115</v>
      </c>
      <c r="J15" s="34"/>
      <c r="K15" s="34"/>
      <c r="BU15" s="40"/>
      <c r="BV15" s="11"/>
    </row>
    <row r="16" spans="1:74" ht="12.75">
      <c r="A16" s="13"/>
      <c r="B16" s="13"/>
      <c r="C16" s="41"/>
      <c r="D16" s="8"/>
      <c r="F16" s="8"/>
      <c r="G16" s="8"/>
      <c r="I16" s="39" t="s">
        <v>113</v>
      </c>
      <c r="J16" s="34"/>
      <c r="BQ16" s="9"/>
      <c r="BR16" s="20"/>
      <c r="BS16" s="20"/>
      <c r="BT16" s="20"/>
      <c r="BV16" s="11"/>
    </row>
    <row r="17" spans="1:74" ht="12.75">
      <c r="A17" s="13"/>
      <c r="B17" s="8"/>
      <c r="C17" s="8"/>
      <c r="I17" s="39" t="s">
        <v>20</v>
      </c>
      <c r="J17" s="34"/>
      <c r="K17" s="34"/>
      <c r="S17" s="42"/>
      <c r="T17" s="43"/>
      <c r="U17" s="19"/>
      <c r="W17" s="10" t="s">
        <v>6</v>
      </c>
      <c r="BQ17" s="9"/>
      <c r="BR17" s="20"/>
      <c r="BS17" s="20"/>
      <c r="BT17" s="20"/>
      <c r="BV17" s="11"/>
    </row>
    <row r="18" spans="4:73" ht="12.75">
      <c r="D18" s="24"/>
      <c r="E18" s="19"/>
      <c r="I18" s="20" t="s">
        <v>48</v>
      </c>
      <c r="J18" s="40"/>
      <c r="K18" s="40"/>
      <c r="S18" s="42"/>
      <c r="T18" s="43"/>
      <c r="U18" s="19"/>
      <c r="BQ18" s="9"/>
      <c r="BU18" s="40"/>
    </row>
    <row r="19" spans="4:21" ht="12.75">
      <c r="D19" s="19"/>
      <c r="O19" s="9"/>
      <c r="T19" s="42"/>
      <c r="U19" s="44"/>
    </row>
    <row r="20" spans="4:12" ht="12.75">
      <c r="D20" s="24"/>
      <c r="F20" s="8"/>
      <c r="G20" s="8"/>
      <c r="H20" s="8"/>
      <c r="I20" s="39" t="s">
        <v>22</v>
      </c>
      <c r="J20" s="34"/>
      <c r="K20" s="34"/>
      <c r="L20" s="32"/>
    </row>
    <row r="21" spans="4:12" ht="12.75">
      <c r="D21" s="24"/>
      <c r="F21" s="8"/>
      <c r="G21" s="8"/>
      <c r="H21" s="8"/>
      <c r="I21" s="39" t="s">
        <v>114</v>
      </c>
      <c r="J21" s="34"/>
      <c r="K21" s="34"/>
      <c r="L21" s="32"/>
    </row>
    <row r="22" spans="4:12" ht="12.75">
      <c r="D22" s="24"/>
      <c r="F22" s="8"/>
      <c r="G22" s="8"/>
      <c r="H22" s="8"/>
      <c r="I22" s="39" t="s">
        <v>20</v>
      </c>
      <c r="J22" s="34"/>
      <c r="K22" s="34"/>
      <c r="L22" s="32"/>
    </row>
    <row r="23" spans="1:12" ht="12.75">
      <c r="A23" s="45"/>
      <c r="B23" s="46"/>
      <c r="C23" s="43"/>
      <c r="D23" s="24"/>
      <c r="F23" s="8"/>
      <c r="G23" s="8"/>
      <c r="H23" s="8"/>
      <c r="I23" s="20" t="s">
        <v>21</v>
      </c>
      <c r="J23" s="40"/>
      <c r="K23" s="40"/>
      <c r="L23" s="40"/>
    </row>
    <row r="24" spans="1:8" ht="12.75">
      <c r="A24" s="45"/>
      <c r="B24" s="46"/>
      <c r="C24" s="43"/>
      <c r="D24" s="24"/>
      <c r="F24" s="8"/>
      <c r="G24" s="8"/>
      <c r="H24" s="8"/>
    </row>
    <row r="25" spans="1:8" ht="12.75">
      <c r="A25" s="45"/>
      <c r="B25" s="46"/>
      <c r="C25" s="43"/>
      <c r="D25" s="24"/>
      <c r="F25" s="8"/>
      <c r="G25" s="8"/>
      <c r="H25" s="8"/>
    </row>
    <row r="26" spans="1:11" ht="12.75">
      <c r="A26" s="45"/>
      <c r="B26" s="46"/>
      <c r="C26" s="43"/>
      <c r="F26" s="8"/>
      <c r="G26" s="8"/>
      <c r="H26" s="8"/>
      <c r="I26" s="39" t="s">
        <v>116</v>
      </c>
      <c r="J26" s="40"/>
      <c r="K26" s="40"/>
    </row>
    <row r="27" spans="1:21" ht="12.75">
      <c r="A27" s="45"/>
      <c r="B27" s="46"/>
      <c r="C27" s="43"/>
      <c r="E27" s="21"/>
      <c r="F27" s="21"/>
      <c r="G27" s="8"/>
      <c r="H27" s="8"/>
      <c r="I27" s="47" t="s">
        <v>117</v>
      </c>
      <c r="J27" s="40"/>
      <c r="K27" s="40"/>
      <c r="U27" s="43"/>
    </row>
    <row r="28" spans="11:21" ht="12.75">
      <c r="K28" s="8"/>
      <c r="P28" s="9"/>
      <c r="U28" s="48"/>
    </row>
    <row r="29" spans="11:16" ht="12.75">
      <c r="K29" s="8"/>
      <c r="O29" s="9"/>
      <c r="P29" s="9"/>
    </row>
    <row r="30" spans="4:15" ht="12.75">
      <c r="D30" s="49" t="s">
        <v>23</v>
      </c>
      <c r="K30" s="8"/>
      <c r="O30" s="9"/>
    </row>
    <row r="31" ht="12.75">
      <c r="K31" s="42"/>
    </row>
    <row r="32" spans="11:20" ht="12.75">
      <c r="K32" s="42"/>
      <c r="Q32" s="13"/>
      <c r="R32" s="13"/>
      <c r="S32" s="13"/>
      <c r="T32" s="13"/>
    </row>
    <row r="33" spans="11:20" ht="12.75">
      <c r="K33" s="50"/>
      <c r="P33" s="13"/>
      <c r="Q33" s="13"/>
      <c r="R33" s="13"/>
      <c r="S33" s="13"/>
      <c r="T33" s="13"/>
    </row>
    <row r="34" ht="12.75">
      <c r="K34" s="50"/>
    </row>
    <row r="35" ht="12.75"/>
    <row r="36" ht="12.75"/>
    <row r="37" ht="12.75"/>
    <row r="38" ht="12.75"/>
    <row r="39" spans="3:14" ht="12.75">
      <c r="C39" s="41" t="s">
        <v>40</v>
      </c>
      <c r="N39" s="13" t="s">
        <v>28</v>
      </c>
    </row>
    <row r="40" ht="12.75">
      <c r="N40" s="13" t="s">
        <v>27</v>
      </c>
    </row>
    <row r="47" spans="1:22" ht="12.75">
      <c r="A47" s="49"/>
      <c r="B47" s="24"/>
      <c r="C47" s="19"/>
      <c r="D47" s="24"/>
      <c r="S47" s="19"/>
      <c r="T47" s="19"/>
      <c r="U47" s="19"/>
      <c r="V47" s="19"/>
    </row>
    <row r="48" spans="1:23" ht="12.75">
      <c r="A48" s="49"/>
      <c r="B48" s="46"/>
      <c r="C48" s="43"/>
      <c r="D48" s="24"/>
      <c r="S48" s="19"/>
      <c r="T48" s="19"/>
      <c r="U48" s="19"/>
      <c r="V48" s="19"/>
      <c r="W48" s="10" t="s">
        <v>15</v>
      </c>
    </row>
    <row r="49" spans="1:22" ht="12.75">
      <c r="A49" s="45"/>
      <c r="B49" s="46"/>
      <c r="C49" s="51"/>
      <c r="D49" s="24"/>
      <c r="S49" s="19"/>
      <c r="T49" s="19"/>
      <c r="U49" s="19"/>
      <c r="V49" s="19"/>
    </row>
    <row r="50" spans="1:22" ht="12.75">
      <c r="A50" s="19"/>
      <c r="B50" s="24"/>
      <c r="C50" s="24"/>
      <c r="D50" s="24"/>
      <c r="E50" s="24"/>
      <c r="F50" s="24"/>
      <c r="G50" s="24"/>
      <c r="H50" s="52"/>
      <c r="I50" s="53"/>
      <c r="J50" s="53"/>
      <c r="K50" s="53"/>
      <c r="L50" s="24"/>
      <c r="M50" s="24"/>
      <c r="N50" s="24"/>
      <c r="O50" s="19"/>
      <c r="P50" s="19"/>
      <c r="Q50" s="19"/>
      <c r="R50" s="19"/>
      <c r="S50" s="19"/>
      <c r="T50" s="19"/>
      <c r="U50" s="19"/>
      <c r="V50" s="19"/>
    </row>
    <row r="51" spans="23:24" s="19" customFormat="1" ht="12.75">
      <c r="W51" s="52"/>
      <c r="X51" s="52"/>
    </row>
    <row r="52" spans="23:24" s="19" customFormat="1" ht="12.75">
      <c r="W52" s="52"/>
      <c r="X52" s="52"/>
    </row>
    <row r="53" spans="1:22" ht="12.75">
      <c r="A53" s="19"/>
      <c r="B53" s="24"/>
      <c r="C53" s="24"/>
      <c r="D53" s="24"/>
      <c r="E53" s="24"/>
      <c r="F53" s="24"/>
      <c r="G53" s="24"/>
      <c r="H53" s="52"/>
      <c r="I53" s="53"/>
      <c r="J53" s="53"/>
      <c r="K53" s="53"/>
      <c r="L53" s="24"/>
      <c r="M53" s="24"/>
      <c r="N53" s="24"/>
      <c r="O53" s="19"/>
      <c r="P53" s="19"/>
      <c r="Q53" s="19"/>
      <c r="R53" s="19"/>
      <c r="S53" s="19"/>
      <c r="T53" s="19"/>
      <c r="U53" s="19"/>
      <c r="V53" s="19"/>
    </row>
    <row r="54" spans="1:22" ht="12.75">
      <c r="A54" s="49"/>
      <c r="B54" s="19"/>
      <c r="C54" s="49"/>
      <c r="D54" s="49"/>
      <c r="E54" s="43"/>
      <c r="F54" s="43"/>
      <c r="G54" s="49"/>
      <c r="H54" s="54"/>
      <c r="I54" s="55"/>
      <c r="J54" s="42"/>
      <c r="K54" s="53"/>
      <c r="L54" s="24"/>
      <c r="M54" s="24"/>
      <c r="N54" s="24"/>
      <c r="O54" s="19"/>
      <c r="P54" s="19"/>
      <c r="Q54" s="19"/>
      <c r="R54" s="19"/>
      <c r="S54" s="19"/>
      <c r="T54" s="19"/>
      <c r="U54" s="19"/>
      <c r="V54" s="19"/>
    </row>
    <row r="55" spans="1:22" ht="12.75">
      <c r="A55" s="43"/>
      <c r="B55" s="43"/>
      <c r="C55" s="43"/>
      <c r="D55" s="43"/>
      <c r="E55" s="43"/>
      <c r="F55" s="56"/>
      <c r="G55" s="44"/>
      <c r="H55" s="43"/>
      <c r="I55" s="42"/>
      <c r="J55" s="42"/>
      <c r="K55" s="53"/>
      <c r="L55" s="24"/>
      <c r="M55" s="24"/>
      <c r="N55" s="24"/>
      <c r="O55" s="19"/>
      <c r="P55" s="19"/>
      <c r="Q55" s="19"/>
      <c r="R55" s="19"/>
      <c r="S55" s="19"/>
      <c r="T55" s="19"/>
      <c r="U55" s="19"/>
      <c r="V55" s="19"/>
    </row>
    <row r="56" spans="1:22" ht="12.75">
      <c r="A56" s="57"/>
      <c r="B56" s="58"/>
      <c r="C56" s="57"/>
      <c r="D56" s="57"/>
      <c r="E56" s="57"/>
      <c r="F56" s="57"/>
      <c r="G56" s="59"/>
      <c r="H56" s="57"/>
      <c r="I56" s="50"/>
      <c r="J56" s="50"/>
      <c r="K56" s="53"/>
      <c r="L56" s="24"/>
      <c r="M56" s="24"/>
      <c r="N56" s="24"/>
      <c r="O56" s="19"/>
      <c r="P56" s="19"/>
      <c r="Q56" s="19"/>
      <c r="R56" s="19"/>
      <c r="S56" s="19"/>
      <c r="T56" s="19"/>
      <c r="U56" s="19"/>
      <c r="V56" s="19"/>
    </row>
    <row r="57" spans="1:22" ht="12.75">
      <c r="A57" s="57"/>
      <c r="B57" s="58"/>
      <c r="C57" s="57"/>
      <c r="D57" s="24"/>
      <c r="E57" s="57"/>
      <c r="F57" s="57"/>
      <c r="G57" s="59"/>
      <c r="H57" s="57"/>
      <c r="I57" s="50"/>
      <c r="J57" s="50"/>
      <c r="K57" s="53"/>
      <c r="L57" s="24"/>
      <c r="M57" s="24"/>
      <c r="N57" s="24"/>
      <c r="O57" s="19"/>
      <c r="P57" s="19"/>
      <c r="Q57" s="19"/>
      <c r="R57" s="19"/>
      <c r="S57" s="19"/>
      <c r="T57" s="19"/>
      <c r="U57" s="19"/>
      <c r="V57" s="19"/>
    </row>
    <row r="58" spans="1:22" ht="12.75">
      <c r="A58" s="57"/>
      <c r="B58" s="58"/>
      <c r="C58" s="57"/>
      <c r="D58" s="57"/>
      <c r="E58" s="57"/>
      <c r="F58" s="57"/>
      <c r="G58" s="59"/>
      <c r="H58" s="57"/>
      <c r="I58" s="50"/>
      <c r="J58" s="50"/>
      <c r="K58" s="53"/>
      <c r="L58" s="24"/>
      <c r="M58" s="24"/>
      <c r="N58" s="24"/>
      <c r="O58" s="19"/>
      <c r="P58" s="19"/>
      <c r="Q58" s="19"/>
      <c r="R58" s="19"/>
      <c r="S58" s="19"/>
      <c r="T58" s="19"/>
      <c r="U58" s="19"/>
      <c r="V58" s="19"/>
    </row>
    <row r="59" spans="1:22" ht="12.75">
      <c r="A59" s="57"/>
      <c r="B59" s="58"/>
      <c r="C59" s="57"/>
      <c r="D59" s="57"/>
      <c r="E59" s="57"/>
      <c r="F59" s="57"/>
      <c r="G59" s="59"/>
      <c r="H59" s="57"/>
      <c r="I59" s="50"/>
      <c r="J59" s="50"/>
      <c r="K59" s="53"/>
      <c r="L59" s="24"/>
      <c r="M59" s="24"/>
      <c r="N59" s="24"/>
      <c r="O59" s="19"/>
      <c r="P59" s="19"/>
      <c r="Q59" s="19"/>
      <c r="R59" s="19"/>
      <c r="S59" s="19"/>
      <c r="T59" s="19"/>
      <c r="U59" s="19"/>
      <c r="V59" s="19"/>
    </row>
    <row r="60" spans="1:22" ht="12.75">
      <c r="A60" s="57"/>
      <c r="B60" s="58"/>
      <c r="C60" s="57"/>
      <c r="D60" s="57"/>
      <c r="E60" s="57"/>
      <c r="F60" s="57"/>
      <c r="G60" s="59"/>
      <c r="H60" s="57"/>
      <c r="I60" s="50"/>
      <c r="J60" s="50"/>
      <c r="K60" s="53"/>
      <c r="L60" s="24"/>
      <c r="M60" s="24"/>
      <c r="N60" s="24"/>
      <c r="O60" s="19"/>
      <c r="P60" s="19"/>
      <c r="Q60" s="19"/>
      <c r="R60" s="19"/>
      <c r="S60" s="19"/>
      <c r="T60" s="19"/>
      <c r="U60" s="19"/>
      <c r="V60" s="19"/>
    </row>
    <row r="61" spans="1:22" ht="12.75">
      <c r="A61" s="19"/>
      <c r="B61" s="24"/>
      <c r="C61" s="24"/>
      <c r="D61" s="24"/>
      <c r="E61" s="24"/>
      <c r="F61" s="24"/>
      <c r="G61" s="24"/>
      <c r="H61" s="52"/>
      <c r="I61" s="53"/>
      <c r="J61" s="53"/>
      <c r="K61" s="53"/>
      <c r="L61" s="24"/>
      <c r="M61" s="24"/>
      <c r="N61" s="24"/>
      <c r="O61" s="19"/>
      <c r="P61" s="19"/>
      <c r="Q61" s="19"/>
      <c r="R61" s="19"/>
      <c r="S61" s="19"/>
      <c r="T61" s="19"/>
      <c r="U61" s="19"/>
      <c r="V61" s="19"/>
    </row>
    <row r="62" spans="1:22" ht="12.75">
      <c r="A62" s="19"/>
      <c r="B62" s="24"/>
      <c r="C62" s="24"/>
      <c r="D62" s="24"/>
      <c r="E62" s="24"/>
      <c r="F62" s="24"/>
      <c r="G62" s="24"/>
      <c r="H62" s="52"/>
      <c r="I62" s="53"/>
      <c r="J62" s="53"/>
      <c r="K62" s="53"/>
      <c r="L62" s="24"/>
      <c r="M62" s="24"/>
      <c r="N62" s="24"/>
      <c r="O62" s="19"/>
      <c r="P62" s="19"/>
      <c r="Q62" s="19"/>
      <c r="R62" s="19"/>
      <c r="S62" s="19"/>
      <c r="T62" s="19"/>
      <c r="U62" s="19"/>
      <c r="V62" s="19"/>
    </row>
    <row r="63" spans="1:22" ht="12.75">
      <c r="A63" s="49"/>
      <c r="B63" s="19"/>
      <c r="C63" s="49"/>
      <c r="D63" s="49"/>
      <c r="E63" s="43"/>
      <c r="F63" s="43"/>
      <c r="G63" s="49"/>
      <c r="H63" s="54"/>
      <c r="I63" s="55"/>
      <c r="J63" s="42"/>
      <c r="K63" s="50"/>
      <c r="L63" s="49"/>
      <c r="M63" s="19"/>
      <c r="N63" s="49"/>
      <c r="O63" s="49"/>
      <c r="P63" s="43"/>
      <c r="Q63" s="43"/>
      <c r="R63" s="49"/>
      <c r="S63" s="54"/>
      <c r="T63" s="55"/>
      <c r="U63" s="42"/>
      <c r="V63" s="19"/>
    </row>
    <row r="64" spans="1:22" ht="12.75">
      <c r="A64" s="43"/>
      <c r="B64" s="43"/>
      <c r="C64" s="43"/>
      <c r="D64" s="43"/>
      <c r="E64" s="43"/>
      <c r="F64" s="56"/>
      <c r="G64" s="44"/>
      <c r="H64" s="43"/>
      <c r="I64" s="42"/>
      <c r="J64" s="42"/>
      <c r="K64" s="50"/>
      <c r="L64" s="43"/>
      <c r="M64" s="43"/>
      <c r="N64" s="43"/>
      <c r="O64" s="43"/>
      <c r="P64" s="43"/>
      <c r="Q64" s="56"/>
      <c r="R64" s="44"/>
      <c r="S64" s="43"/>
      <c r="T64" s="42"/>
      <c r="U64" s="42"/>
      <c r="V64" s="19"/>
    </row>
    <row r="65" spans="1:22" ht="12.75">
      <c r="A65" s="57"/>
      <c r="B65" s="58"/>
      <c r="C65" s="57"/>
      <c r="D65" s="57"/>
      <c r="E65" s="57"/>
      <c r="F65" s="57"/>
      <c r="G65" s="59"/>
      <c r="H65" s="57"/>
      <c r="I65" s="50"/>
      <c r="J65" s="50"/>
      <c r="K65" s="50"/>
      <c r="L65" s="57"/>
      <c r="M65" s="58"/>
      <c r="N65" s="57"/>
      <c r="O65" s="57"/>
      <c r="P65" s="57"/>
      <c r="Q65" s="57"/>
      <c r="R65" s="59"/>
      <c r="S65" s="57"/>
      <c r="T65" s="50"/>
      <c r="U65" s="50"/>
      <c r="V65" s="19"/>
    </row>
    <row r="66" spans="1:22" ht="12.75">
      <c r="A66" s="57"/>
      <c r="B66" s="58"/>
      <c r="C66" s="57"/>
      <c r="D66" s="24"/>
      <c r="E66" s="57"/>
      <c r="F66" s="57"/>
      <c r="G66" s="59"/>
      <c r="H66" s="57"/>
      <c r="I66" s="50"/>
      <c r="J66" s="50"/>
      <c r="K66" s="50"/>
      <c r="L66" s="57"/>
      <c r="M66" s="58"/>
      <c r="N66" s="57"/>
      <c r="O66" s="24"/>
      <c r="P66" s="57"/>
      <c r="Q66" s="57"/>
      <c r="R66" s="59"/>
      <c r="S66" s="57"/>
      <c r="T66" s="50"/>
      <c r="U66" s="50"/>
      <c r="V66" s="19"/>
    </row>
    <row r="67" spans="1:22" ht="12.75">
      <c r="A67" s="57"/>
      <c r="B67" s="58"/>
      <c r="C67" s="57"/>
      <c r="D67" s="57"/>
      <c r="E67" s="57"/>
      <c r="F67" s="57"/>
      <c r="G67" s="59"/>
      <c r="H67" s="57"/>
      <c r="I67" s="50"/>
      <c r="J67" s="50"/>
      <c r="K67" s="50"/>
      <c r="L67" s="57"/>
      <c r="M67" s="58"/>
      <c r="N67" s="57"/>
      <c r="O67" s="57"/>
      <c r="P67" s="57"/>
      <c r="Q67" s="57"/>
      <c r="R67" s="59"/>
      <c r="S67" s="57"/>
      <c r="T67" s="50"/>
      <c r="U67" s="50"/>
      <c r="V67" s="19"/>
    </row>
    <row r="68" spans="1:22" ht="12.75">
      <c r="A68" s="57"/>
      <c r="B68" s="58"/>
      <c r="C68" s="57"/>
      <c r="D68" s="57"/>
      <c r="E68" s="57"/>
      <c r="F68" s="57"/>
      <c r="G68" s="59"/>
      <c r="H68" s="57"/>
      <c r="I68" s="50"/>
      <c r="J68" s="50"/>
      <c r="K68" s="50"/>
      <c r="L68" s="57"/>
      <c r="M68" s="58"/>
      <c r="N68" s="24"/>
      <c r="O68" s="57"/>
      <c r="P68" s="57"/>
      <c r="Q68" s="57"/>
      <c r="R68" s="59"/>
      <c r="S68" s="57"/>
      <c r="T68" s="50"/>
      <c r="U68" s="50"/>
      <c r="V68" s="19"/>
    </row>
    <row r="69" spans="1:22" ht="12.75">
      <c r="A69" s="57"/>
      <c r="B69" s="58"/>
      <c r="C69" s="57"/>
      <c r="D69" s="57"/>
      <c r="E69" s="57"/>
      <c r="F69" s="57"/>
      <c r="G69" s="59"/>
      <c r="H69" s="57"/>
      <c r="I69" s="50"/>
      <c r="J69" s="50"/>
      <c r="K69" s="50"/>
      <c r="L69" s="57"/>
      <c r="M69" s="58"/>
      <c r="N69" s="57"/>
      <c r="O69" s="57"/>
      <c r="P69" s="57"/>
      <c r="Q69" s="57"/>
      <c r="R69" s="59"/>
      <c r="S69" s="57"/>
      <c r="T69" s="50"/>
      <c r="U69" s="50"/>
      <c r="V69" s="19"/>
    </row>
    <row r="70" spans="1:2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spans="1:22" ht="12.75">
      <c r="A71" s="49"/>
      <c r="B71" s="19"/>
      <c r="C71" s="49"/>
      <c r="D71" s="49"/>
      <c r="E71" s="43"/>
      <c r="F71" s="43"/>
      <c r="G71" s="49"/>
      <c r="H71" s="54"/>
      <c r="I71" s="55"/>
      <c r="J71" s="42"/>
      <c r="K71" s="55"/>
      <c r="L71" s="42"/>
      <c r="M71" s="24"/>
      <c r="N71" s="24"/>
      <c r="O71" s="19"/>
      <c r="P71" s="19"/>
      <c r="Q71" s="19"/>
      <c r="R71" s="19"/>
      <c r="S71" s="19"/>
      <c r="T71" s="19"/>
      <c r="U71" s="19"/>
      <c r="V71" s="19"/>
    </row>
    <row r="72" spans="1:22" ht="12.75">
      <c r="A72" s="43"/>
      <c r="B72" s="43"/>
      <c r="C72" s="43"/>
      <c r="D72" s="43"/>
      <c r="E72" s="43"/>
      <c r="F72" s="56"/>
      <c r="G72" s="44"/>
      <c r="H72" s="43"/>
      <c r="I72" s="42"/>
      <c r="J72" s="42"/>
      <c r="K72" s="42"/>
      <c r="L72" s="42"/>
      <c r="M72" s="24"/>
      <c r="N72" s="24"/>
      <c r="O72" s="19"/>
      <c r="P72" s="19"/>
      <c r="Q72" s="19"/>
      <c r="R72" s="19"/>
      <c r="S72" s="19"/>
      <c r="T72" s="19"/>
      <c r="U72" s="19"/>
      <c r="V72" s="19"/>
    </row>
    <row r="73" spans="1:22" ht="12.75">
      <c r="A73" s="57"/>
      <c r="B73" s="58"/>
      <c r="C73" s="57"/>
      <c r="D73" s="57"/>
      <c r="E73" s="57"/>
      <c r="F73" s="57"/>
      <c r="G73" s="59"/>
      <c r="H73" s="57"/>
      <c r="I73" s="50"/>
      <c r="J73" s="50"/>
      <c r="K73" s="50"/>
      <c r="L73" s="50"/>
      <c r="M73" s="24"/>
      <c r="N73" s="24"/>
      <c r="O73" s="19"/>
      <c r="P73" s="19"/>
      <c r="Q73" s="19"/>
      <c r="R73" s="19"/>
      <c r="S73" s="19"/>
      <c r="T73" s="19"/>
      <c r="U73" s="19"/>
      <c r="V73" s="19"/>
    </row>
    <row r="74" spans="1:22" ht="12.75">
      <c r="A74" s="57"/>
      <c r="B74" s="58"/>
      <c r="C74" s="57"/>
      <c r="D74" s="57"/>
      <c r="E74" s="57"/>
      <c r="F74" s="57"/>
      <c r="G74" s="59"/>
      <c r="H74" s="57"/>
      <c r="I74" s="50"/>
      <c r="J74" s="50"/>
      <c r="K74" s="50"/>
      <c r="L74" s="50"/>
      <c r="M74" s="24"/>
      <c r="N74" s="24"/>
      <c r="O74" s="19"/>
      <c r="P74" s="19"/>
      <c r="Q74" s="19"/>
      <c r="R74" s="19"/>
      <c r="S74" s="19"/>
      <c r="T74" s="19"/>
      <c r="U74" s="19"/>
      <c r="V74" s="19"/>
    </row>
    <row r="75" spans="1:22" ht="12.75">
      <c r="A75" s="57"/>
      <c r="B75" s="58"/>
      <c r="C75" s="57"/>
      <c r="D75" s="57"/>
      <c r="E75" s="57"/>
      <c r="F75" s="57"/>
      <c r="G75" s="59"/>
      <c r="H75" s="57"/>
      <c r="I75" s="50"/>
      <c r="J75" s="50"/>
      <c r="K75" s="50"/>
      <c r="L75" s="50"/>
      <c r="M75" s="24"/>
      <c r="N75" s="24"/>
      <c r="O75" s="19"/>
      <c r="P75" s="19"/>
      <c r="Q75" s="19"/>
      <c r="R75" s="19"/>
      <c r="S75" s="19"/>
      <c r="T75" s="19"/>
      <c r="U75" s="19"/>
      <c r="V75" s="19"/>
    </row>
    <row r="76" spans="1:22" ht="12.75">
      <c r="A76" s="57"/>
      <c r="B76" s="58"/>
      <c r="C76" s="57"/>
      <c r="D76" s="57"/>
      <c r="E76" s="57"/>
      <c r="F76" s="57"/>
      <c r="G76" s="59"/>
      <c r="H76" s="57"/>
      <c r="I76" s="50"/>
      <c r="J76" s="50"/>
      <c r="K76" s="50"/>
      <c r="L76" s="50"/>
      <c r="M76" s="24"/>
      <c r="N76" s="24"/>
      <c r="O76" s="19"/>
      <c r="P76" s="19"/>
      <c r="Q76" s="19"/>
      <c r="R76" s="19"/>
      <c r="S76" s="19"/>
      <c r="T76" s="19"/>
      <c r="U76" s="19"/>
      <c r="V76" s="19"/>
    </row>
    <row r="77" spans="1:22" ht="12.75">
      <c r="A77" s="57"/>
      <c r="B77" s="58"/>
      <c r="C77" s="57"/>
      <c r="D77" s="57"/>
      <c r="E77" s="57"/>
      <c r="F77" s="57"/>
      <c r="G77" s="59"/>
      <c r="H77" s="57"/>
      <c r="I77" s="50"/>
      <c r="J77" s="50"/>
      <c r="K77" s="50"/>
      <c r="L77" s="50"/>
      <c r="M77" s="19"/>
      <c r="N77" s="24"/>
      <c r="O77" s="19"/>
      <c r="P77" s="19"/>
      <c r="Q77" s="19"/>
      <c r="R77" s="19"/>
      <c r="S77" s="19"/>
      <c r="T77" s="19"/>
      <c r="U77" s="19"/>
      <c r="V77" s="19"/>
    </row>
    <row r="78" spans="1:2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24"/>
      <c r="O78" s="19"/>
      <c r="P78" s="19"/>
      <c r="Q78" s="19"/>
      <c r="R78" s="19"/>
      <c r="S78" s="19"/>
      <c r="T78" s="19"/>
      <c r="U78" s="19"/>
      <c r="V78" s="19"/>
    </row>
    <row r="79" spans="1:22" ht="12.75">
      <c r="A79" s="49"/>
      <c r="B79" s="19"/>
      <c r="C79" s="49"/>
      <c r="D79" s="49"/>
      <c r="E79" s="43"/>
      <c r="F79" s="43"/>
      <c r="G79" s="49"/>
      <c r="H79" s="54"/>
      <c r="I79" s="55"/>
      <c r="J79" s="42"/>
      <c r="K79" s="55"/>
      <c r="L79" s="42"/>
      <c r="M79" s="24"/>
      <c r="N79" s="24"/>
      <c r="O79" s="19"/>
      <c r="P79" s="19"/>
      <c r="Q79" s="19"/>
      <c r="R79" s="19"/>
      <c r="S79" s="19"/>
      <c r="T79" s="19"/>
      <c r="U79" s="19"/>
      <c r="V79" s="19"/>
    </row>
    <row r="80" spans="1:22" ht="12.75">
      <c r="A80" s="43"/>
      <c r="B80" s="43"/>
      <c r="C80" s="43"/>
      <c r="D80" s="43"/>
      <c r="E80" s="43"/>
      <c r="F80" s="56"/>
      <c r="G80" s="44"/>
      <c r="H80" s="43"/>
      <c r="I80" s="42"/>
      <c r="J80" s="42"/>
      <c r="K80" s="42"/>
      <c r="L80" s="42"/>
      <c r="M80" s="24"/>
      <c r="N80" s="24"/>
      <c r="O80" s="19"/>
      <c r="P80" s="19"/>
      <c r="Q80" s="19"/>
      <c r="R80" s="19"/>
      <c r="S80" s="19"/>
      <c r="T80" s="19"/>
      <c r="U80" s="19"/>
      <c r="V80" s="19"/>
    </row>
    <row r="81" spans="1:22" ht="12.75">
      <c r="A81" s="57"/>
      <c r="B81" s="58"/>
      <c r="C81" s="57"/>
      <c r="D81" s="57"/>
      <c r="E81" s="57"/>
      <c r="F81" s="57"/>
      <c r="G81" s="59"/>
      <c r="H81" s="57"/>
      <c r="I81" s="50"/>
      <c r="J81" s="50"/>
      <c r="K81" s="50"/>
      <c r="L81" s="50"/>
      <c r="M81" s="24"/>
      <c r="N81" s="24"/>
      <c r="O81" s="19"/>
      <c r="P81" s="19"/>
      <c r="Q81" s="19"/>
      <c r="R81" s="19"/>
      <c r="S81" s="19"/>
      <c r="T81" s="19"/>
      <c r="U81" s="19"/>
      <c r="V81" s="19"/>
    </row>
    <row r="82" spans="1:22" ht="12.75">
      <c r="A82" s="57"/>
      <c r="B82" s="58"/>
      <c r="C82" s="57"/>
      <c r="D82" s="57"/>
      <c r="E82" s="57"/>
      <c r="F82" s="57"/>
      <c r="G82" s="59"/>
      <c r="H82" s="57"/>
      <c r="I82" s="50"/>
      <c r="J82" s="50"/>
      <c r="K82" s="50"/>
      <c r="L82" s="50"/>
      <c r="M82" s="24"/>
      <c r="N82" s="24"/>
      <c r="O82" s="19"/>
      <c r="P82" s="19"/>
      <c r="Q82" s="19"/>
      <c r="R82" s="19"/>
      <c r="S82" s="19"/>
      <c r="T82" s="19"/>
      <c r="U82" s="19"/>
      <c r="V82" s="19"/>
    </row>
    <row r="83" spans="1:22" ht="12.75">
      <c r="A83" s="57"/>
      <c r="B83" s="58"/>
      <c r="C83" s="57"/>
      <c r="D83" s="57"/>
      <c r="E83" s="57"/>
      <c r="F83" s="57"/>
      <c r="G83" s="59"/>
      <c r="H83" s="57"/>
      <c r="I83" s="50"/>
      <c r="J83" s="50"/>
      <c r="K83" s="50"/>
      <c r="L83" s="50"/>
      <c r="M83" s="24"/>
      <c r="N83" s="24"/>
      <c r="O83" s="19"/>
      <c r="P83" s="19"/>
      <c r="Q83" s="19"/>
      <c r="R83" s="19"/>
      <c r="S83" s="19"/>
      <c r="T83" s="19"/>
      <c r="U83" s="19"/>
      <c r="V83" s="19"/>
    </row>
    <row r="84" spans="1:22" ht="12.75">
      <c r="A84" s="57"/>
      <c r="B84" s="58"/>
      <c r="C84" s="57"/>
      <c r="D84" s="57"/>
      <c r="E84" s="57"/>
      <c r="F84" s="57"/>
      <c r="G84" s="59"/>
      <c r="H84" s="57"/>
      <c r="I84" s="50"/>
      <c r="J84" s="50"/>
      <c r="K84" s="50"/>
      <c r="L84" s="50"/>
      <c r="M84" s="24"/>
      <c r="N84" s="24"/>
      <c r="O84" s="19"/>
      <c r="P84" s="19"/>
      <c r="Q84" s="19"/>
      <c r="R84" s="19"/>
      <c r="S84" s="19"/>
      <c r="T84" s="19"/>
      <c r="U84" s="19"/>
      <c r="V84" s="19"/>
    </row>
    <row r="85" spans="1:22" ht="12.75">
      <c r="A85" s="57"/>
      <c r="B85" s="58"/>
      <c r="C85" s="57"/>
      <c r="D85" s="57"/>
      <c r="E85" s="57"/>
      <c r="F85" s="57"/>
      <c r="G85" s="59"/>
      <c r="H85" s="57"/>
      <c r="I85" s="50"/>
      <c r="J85" s="50"/>
      <c r="K85" s="50"/>
      <c r="L85" s="50"/>
      <c r="M85" s="24"/>
      <c r="N85" s="24"/>
      <c r="O85" s="19"/>
      <c r="P85" s="19"/>
      <c r="Q85" s="19"/>
      <c r="R85" s="19"/>
      <c r="S85" s="19"/>
      <c r="T85" s="19"/>
      <c r="U85" s="19"/>
      <c r="V85" s="19"/>
    </row>
    <row r="86" spans="1:22" ht="12.75">
      <c r="A86" s="19"/>
      <c r="B86" s="24"/>
      <c r="C86" s="24"/>
      <c r="D86" s="24"/>
      <c r="E86" s="24"/>
      <c r="F86" s="24"/>
      <c r="G86" s="24"/>
      <c r="H86" s="52"/>
      <c r="I86" s="53"/>
      <c r="J86" s="50"/>
      <c r="K86" s="53"/>
      <c r="L86" s="24"/>
      <c r="M86" s="24"/>
      <c r="N86" s="24"/>
      <c r="O86" s="19"/>
      <c r="P86" s="19"/>
      <c r="Q86" s="19"/>
      <c r="R86" s="19"/>
      <c r="S86" s="19"/>
      <c r="T86" s="19"/>
      <c r="U86" s="19"/>
      <c r="V86" s="19"/>
    </row>
    <row r="87" spans="1:22" ht="12.75">
      <c r="A87" s="49"/>
      <c r="B87" s="19"/>
      <c r="C87" s="49"/>
      <c r="D87" s="49"/>
      <c r="E87" s="43"/>
      <c r="F87" s="43"/>
      <c r="G87" s="49"/>
      <c r="H87" s="54"/>
      <c r="I87" s="55"/>
      <c r="J87" s="42"/>
      <c r="K87" s="55"/>
      <c r="L87" s="42"/>
      <c r="M87" s="24"/>
      <c r="N87" s="24"/>
      <c r="O87" s="19"/>
      <c r="P87" s="24"/>
      <c r="Q87" s="24"/>
      <c r="R87" s="19"/>
      <c r="S87" s="19"/>
      <c r="T87" s="19"/>
      <c r="U87" s="19"/>
      <c r="V87" s="19"/>
    </row>
    <row r="88" spans="1:22" ht="12.75">
      <c r="A88" s="43"/>
      <c r="B88" s="43"/>
      <c r="C88" s="43"/>
      <c r="D88" s="43"/>
      <c r="E88" s="43"/>
      <c r="F88" s="56"/>
      <c r="G88" s="44"/>
      <c r="H88" s="43"/>
      <c r="I88" s="42"/>
      <c r="J88" s="42"/>
      <c r="K88" s="42"/>
      <c r="L88" s="42"/>
      <c r="M88" s="24"/>
      <c r="N88" s="24"/>
      <c r="O88" s="19"/>
      <c r="P88" s="24"/>
      <c r="Q88" s="60"/>
      <c r="R88" s="19"/>
      <c r="S88" s="19"/>
      <c r="T88" s="19"/>
      <c r="U88" s="19"/>
      <c r="V88" s="19"/>
    </row>
    <row r="89" spans="1:22" ht="12.75">
      <c r="A89" s="57"/>
      <c r="B89" s="58"/>
      <c r="C89" s="57"/>
      <c r="D89" s="57"/>
      <c r="E89" s="57"/>
      <c r="F89" s="57"/>
      <c r="G89" s="59"/>
      <c r="H89" s="57"/>
      <c r="I89" s="50"/>
      <c r="J89" s="50"/>
      <c r="K89" s="50"/>
      <c r="L89" s="50"/>
      <c r="M89" s="24"/>
      <c r="N89" s="24"/>
      <c r="O89" s="19"/>
      <c r="P89" s="24"/>
      <c r="Q89" s="24"/>
      <c r="R89" s="19"/>
      <c r="S89" s="19"/>
      <c r="T89" s="19"/>
      <c r="U89" s="19"/>
      <c r="V89" s="19"/>
    </row>
    <row r="90" spans="1:22" ht="12.75">
      <c r="A90" s="57"/>
      <c r="B90" s="58"/>
      <c r="C90" s="57"/>
      <c r="D90" s="57"/>
      <c r="E90" s="57"/>
      <c r="F90" s="57"/>
      <c r="G90" s="59"/>
      <c r="H90" s="57"/>
      <c r="I90" s="50"/>
      <c r="J90" s="50"/>
      <c r="K90" s="50"/>
      <c r="L90" s="50"/>
      <c r="M90" s="24"/>
      <c r="N90" s="24"/>
      <c r="O90" s="19"/>
      <c r="P90" s="24"/>
      <c r="Q90" s="24"/>
      <c r="R90" s="19"/>
      <c r="S90" s="19"/>
      <c r="T90" s="19"/>
      <c r="U90" s="19"/>
      <c r="V90" s="19"/>
    </row>
    <row r="91" spans="1:22" ht="12.75">
      <c r="A91" s="57"/>
      <c r="B91" s="58"/>
      <c r="C91" s="57"/>
      <c r="D91" s="57"/>
      <c r="E91" s="57"/>
      <c r="F91" s="57"/>
      <c r="G91" s="59"/>
      <c r="H91" s="57"/>
      <c r="I91" s="50"/>
      <c r="J91" s="50"/>
      <c r="K91" s="50"/>
      <c r="L91" s="50"/>
      <c r="M91" s="24"/>
      <c r="N91" s="24"/>
      <c r="O91" s="19"/>
      <c r="P91" s="24"/>
      <c r="Q91" s="24"/>
      <c r="R91" s="19"/>
      <c r="S91" s="19"/>
      <c r="T91" s="19"/>
      <c r="U91" s="19"/>
      <c r="V91" s="19"/>
    </row>
    <row r="92" spans="1:22" ht="12.75">
      <c r="A92" s="57"/>
      <c r="B92" s="58"/>
      <c r="C92" s="57"/>
      <c r="D92" s="57"/>
      <c r="E92" s="57"/>
      <c r="F92" s="57"/>
      <c r="G92" s="59"/>
      <c r="H92" s="57"/>
      <c r="I92" s="50"/>
      <c r="J92" s="50"/>
      <c r="K92" s="50"/>
      <c r="L92" s="50"/>
      <c r="M92" s="24"/>
      <c r="N92" s="24"/>
      <c r="O92" s="19"/>
      <c r="P92" s="24"/>
      <c r="Q92" s="24"/>
      <c r="R92" s="19"/>
      <c r="S92" s="19"/>
      <c r="T92" s="19"/>
      <c r="U92" s="19"/>
      <c r="V92" s="19"/>
    </row>
    <row r="93" spans="1:22" ht="12.75">
      <c r="A93" s="57"/>
      <c r="B93" s="58"/>
      <c r="C93" s="57"/>
      <c r="D93" s="57"/>
      <c r="E93" s="57"/>
      <c r="F93" s="57"/>
      <c r="G93" s="59"/>
      <c r="H93" s="57"/>
      <c r="I93" s="50"/>
      <c r="J93" s="50"/>
      <c r="K93" s="50"/>
      <c r="L93" s="50"/>
      <c r="M93" s="24"/>
      <c r="N93" s="24"/>
      <c r="O93" s="19"/>
      <c r="P93" s="24"/>
      <c r="Q93" s="24"/>
      <c r="R93" s="61"/>
      <c r="S93" s="19"/>
      <c r="T93" s="19"/>
      <c r="U93" s="19"/>
      <c r="V93" s="19"/>
    </row>
    <row r="94" spans="1:22" ht="12.75">
      <c r="A94" s="19"/>
      <c r="B94" s="24"/>
      <c r="C94" s="24"/>
      <c r="D94" s="24"/>
      <c r="E94" s="24"/>
      <c r="F94" s="24"/>
      <c r="G94" s="24"/>
      <c r="H94" s="52"/>
      <c r="I94" s="53"/>
      <c r="J94" s="53"/>
      <c r="K94" s="53"/>
      <c r="L94" s="24"/>
      <c r="M94" s="24"/>
      <c r="N94" s="24"/>
      <c r="O94" s="19"/>
      <c r="P94" s="24"/>
      <c r="Q94" s="24"/>
      <c r="R94" s="19"/>
      <c r="S94" s="19"/>
      <c r="T94" s="19"/>
      <c r="U94" s="19"/>
      <c r="V94" s="19"/>
    </row>
    <row r="95" spans="1:22" ht="12.75">
      <c r="A95" s="49"/>
      <c r="B95" s="19"/>
      <c r="C95" s="49"/>
      <c r="D95" s="49"/>
      <c r="E95" s="43"/>
      <c r="F95" s="43"/>
      <c r="G95" s="49"/>
      <c r="H95" s="54"/>
      <c r="I95" s="55"/>
      <c r="J95" s="42"/>
      <c r="K95" s="55"/>
      <c r="L95" s="42"/>
      <c r="M95" s="55"/>
      <c r="N95" s="42"/>
      <c r="O95" s="19"/>
      <c r="P95" s="24"/>
      <c r="Q95" s="24"/>
      <c r="R95" s="19"/>
      <c r="S95" s="19"/>
      <c r="T95" s="19"/>
      <c r="U95" s="19"/>
      <c r="V95" s="19"/>
    </row>
    <row r="96" spans="1:22" ht="12.75">
      <c r="A96" s="43"/>
      <c r="B96" s="43"/>
      <c r="C96" s="43"/>
      <c r="D96" s="43"/>
      <c r="E96" s="43"/>
      <c r="F96" s="56"/>
      <c r="G96" s="44"/>
      <c r="H96" s="43"/>
      <c r="I96" s="42"/>
      <c r="J96" s="42"/>
      <c r="K96" s="42"/>
      <c r="L96" s="42"/>
      <c r="M96" s="42"/>
      <c r="N96" s="42"/>
      <c r="O96" s="19"/>
      <c r="P96" s="19"/>
      <c r="Q96" s="19"/>
      <c r="R96" s="19"/>
      <c r="S96" s="19"/>
      <c r="T96" s="19"/>
      <c r="U96" s="19"/>
      <c r="V96" s="19"/>
    </row>
    <row r="97" spans="1:22" ht="12.75">
      <c r="A97" s="57"/>
      <c r="B97" s="58"/>
      <c r="C97" s="57"/>
      <c r="D97" s="57"/>
      <c r="E97" s="57"/>
      <c r="F97" s="57"/>
      <c r="G97" s="59"/>
      <c r="H97" s="57"/>
      <c r="I97" s="50"/>
      <c r="J97" s="50"/>
      <c r="K97" s="50"/>
      <c r="L97" s="50"/>
      <c r="M97" s="50"/>
      <c r="N97" s="50"/>
      <c r="O97" s="19"/>
      <c r="P97" s="19"/>
      <c r="Q97" s="19"/>
      <c r="R97" s="19"/>
      <c r="S97" s="19"/>
      <c r="T97" s="19"/>
      <c r="U97" s="19"/>
      <c r="V97" s="19"/>
    </row>
    <row r="98" spans="1:22" ht="12.75">
      <c r="A98" s="57"/>
      <c r="B98" s="58"/>
      <c r="C98" s="57"/>
      <c r="D98" s="57"/>
      <c r="E98" s="57"/>
      <c r="F98" s="57"/>
      <c r="G98" s="59"/>
      <c r="H98" s="57"/>
      <c r="I98" s="50"/>
      <c r="J98" s="50"/>
      <c r="K98" s="50"/>
      <c r="L98" s="50"/>
      <c r="M98" s="50"/>
      <c r="N98" s="50"/>
      <c r="O98" s="19"/>
      <c r="P98" s="19"/>
      <c r="Q98" s="19"/>
      <c r="R98" s="19"/>
      <c r="S98" s="19"/>
      <c r="T98" s="19"/>
      <c r="U98" s="19"/>
      <c r="V98" s="19"/>
    </row>
    <row r="99" spans="1:22" ht="12.75">
      <c r="A99" s="57"/>
      <c r="B99" s="58"/>
      <c r="C99" s="57"/>
      <c r="D99" s="57"/>
      <c r="E99" s="57"/>
      <c r="F99" s="57"/>
      <c r="G99" s="59"/>
      <c r="H99" s="57"/>
      <c r="I99" s="50"/>
      <c r="J99" s="50"/>
      <c r="K99" s="50"/>
      <c r="L99" s="50"/>
      <c r="M99" s="50"/>
      <c r="N99" s="50"/>
      <c r="O99" s="19"/>
      <c r="P99" s="19"/>
      <c r="Q99" s="19"/>
      <c r="R99" s="19"/>
      <c r="S99" s="19"/>
      <c r="T99" s="19"/>
      <c r="U99" s="19"/>
      <c r="V99" s="19"/>
    </row>
    <row r="100" spans="1:22" ht="12.75">
      <c r="A100" s="57"/>
      <c r="B100" s="58"/>
      <c r="C100" s="57"/>
      <c r="D100" s="57"/>
      <c r="E100" s="57"/>
      <c r="F100" s="57"/>
      <c r="G100" s="59"/>
      <c r="H100" s="57"/>
      <c r="I100" s="50"/>
      <c r="J100" s="50"/>
      <c r="K100" s="50"/>
      <c r="L100" s="50"/>
      <c r="M100" s="50"/>
      <c r="N100" s="50"/>
      <c r="O100" s="19"/>
      <c r="P100" s="19"/>
      <c r="Q100" s="19"/>
      <c r="R100" s="19"/>
      <c r="S100" s="19"/>
      <c r="T100" s="19"/>
      <c r="U100" s="19"/>
      <c r="V100" s="19"/>
    </row>
    <row r="101" spans="1:22" ht="12.75">
      <c r="A101" s="57"/>
      <c r="B101" s="58"/>
      <c r="C101" s="57"/>
      <c r="D101" s="57"/>
      <c r="E101" s="57"/>
      <c r="F101" s="57"/>
      <c r="G101" s="59"/>
      <c r="H101" s="57"/>
      <c r="I101" s="50"/>
      <c r="J101" s="50"/>
      <c r="K101" s="50"/>
      <c r="L101" s="50"/>
      <c r="M101" s="50"/>
      <c r="N101" s="50"/>
      <c r="O101" s="19"/>
      <c r="P101" s="19"/>
      <c r="Q101" s="19"/>
      <c r="R101" s="19"/>
      <c r="S101" s="19"/>
      <c r="T101" s="19"/>
      <c r="U101" s="19"/>
      <c r="V101" s="19"/>
    </row>
    <row r="102" spans="1:22" ht="12.75">
      <c r="A102" s="19"/>
      <c r="B102" s="24"/>
      <c r="C102" s="24"/>
      <c r="D102" s="24"/>
      <c r="E102" s="24"/>
      <c r="F102" s="24"/>
      <c r="G102" s="24"/>
      <c r="H102" s="52"/>
      <c r="I102" s="53"/>
      <c r="J102" s="53"/>
      <c r="K102" s="53"/>
      <c r="L102" s="24"/>
      <c r="M102" s="24"/>
      <c r="N102" s="24"/>
      <c r="O102" s="19"/>
      <c r="P102" s="19"/>
      <c r="Q102" s="19"/>
      <c r="R102" s="19"/>
      <c r="S102" s="19"/>
      <c r="T102" s="19"/>
      <c r="U102" s="19"/>
      <c r="V102" s="19"/>
    </row>
    <row r="103" spans="1:22" ht="12.75">
      <c r="A103" s="49"/>
      <c r="B103" s="19"/>
      <c r="C103" s="49"/>
      <c r="D103" s="49"/>
      <c r="E103" s="43"/>
      <c r="F103" s="43"/>
      <c r="G103" s="49"/>
      <c r="H103" s="54"/>
      <c r="I103" s="55"/>
      <c r="J103" s="42"/>
      <c r="K103" s="55"/>
      <c r="L103" s="42"/>
      <c r="M103" s="55"/>
      <c r="N103" s="42"/>
      <c r="O103" s="19"/>
      <c r="P103" s="19"/>
      <c r="Q103" s="19"/>
      <c r="R103" s="19"/>
      <c r="S103" s="19"/>
      <c r="T103" s="19"/>
      <c r="U103" s="19"/>
      <c r="V103" s="19"/>
    </row>
    <row r="104" spans="1:22" ht="12.75">
      <c r="A104" s="43"/>
      <c r="B104" s="43"/>
      <c r="C104" s="43"/>
      <c r="D104" s="43"/>
      <c r="E104" s="43"/>
      <c r="F104" s="56"/>
      <c r="G104" s="44"/>
      <c r="H104" s="43"/>
      <c r="I104" s="42"/>
      <c r="J104" s="42"/>
      <c r="K104" s="42"/>
      <c r="L104" s="42"/>
      <c r="M104" s="42"/>
      <c r="N104" s="42"/>
      <c r="O104" s="19"/>
      <c r="P104" s="19"/>
      <c r="Q104" s="19"/>
      <c r="R104" s="19"/>
      <c r="S104" s="19"/>
      <c r="T104" s="19"/>
      <c r="U104" s="19"/>
      <c r="V104" s="19"/>
    </row>
    <row r="105" spans="1:22" ht="12.75">
      <c r="A105" s="57"/>
      <c r="B105" s="58"/>
      <c r="C105" s="57"/>
      <c r="D105" s="57"/>
      <c r="E105" s="57"/>
      <c r="F105" s="57"/>
      <c r="G105" s="59"/>
      <c r="H105" s="57"/>
      <c r="I105" s="50"/>
      <c r="J105" s="50"/>
      <c r="K105" s="50"/>
      <c r="L105" s="50"/>
      <c r="M105" s="50"/>
      <c r="N105" s="50"/>
      <c r="O105" s="62"/>
      <c r="P105" s="19"/>
      <c r="Q105" s="19"/>
      <c r="R105" s="19"/>
      <c r="S105" s="19"/>
      <c r="T105" s="19"/>
      <c r="U105" s="19"/>
      <c r="V105" s="19"/>
    </row>
    <row r="106" spans="1:22" ht="12.75">
      <c r="A106" s="57"/>
      <c r="B106" s="58"/>
      <c r="C106" s="57"/>
      <c r="D106" s="57"/>
      <c r="E106" s="57"/>
      <c r="F106" s="57"/>
      <c r="G106" s="59"/>
      <c r="H106" s="57"/>
      <c r="I106" s="50"/>
      <c r="J106" s="50"/>
      <c r="K106" s="50"/>
      <c r="L106" s="50"/>
      <c r="M106" s="50"/>
      <c r="N106" s="50"/>
      <c r="O106" s="62"/>
      <c r="P106" s="19"/>
      <c r="Q106" s="19"/>
      <c r="R106" s="19"/>
      <c r="S106" s="19"/>
      <c r="T106" s="19"/>
      <c r="U106" s="19"/>
      <c r="V106" s="19"/>
    </row>
    <row r="107" spans="1:22" ht="12.75">
      <c r="A107" s="57"/>
      <c r="B107" s="58"/>
      <c r="C107" s="57"/>
      <c r="D107" s="57"/>
      <c r="E107" s="57"/>
      <c r="F107" s="57"/>
      <c r="G107" s="59"/>
      <c r="H107" s="57"/>
      <c r="I107" s="50"/>
      <c r="J107" s="50"/>
      <c r="K107" s="50"/>
      <c r="L107" s="50"/>
      <c r="M107" s="50"/>
      <c r="N107" s="50"/>
      <c r="O107" s="62"/>
      <c r="P107" s="19"/>
      <c r="Q107" s="19"/>
      <c r="R107" s="19"/>
      <c r="S107" s="19"/>
      <c r="T107" s="19"/>
      <c r="U107" s="19"/>
      <c r="V107" s="19"/>
    </row>
    <row r="108" spans="1:22" ht="12.75">
      <c r="A108" s="57"/>
      <c r="B108" s="58"/>
      <c r="C108" s="57"/>
      <c r="D108" s="57"/>
      <c r="E108" s="57"/>
      <c r="F108" s="57"/>
      <c r="G108" s="59"/>
      <c r="H108" s="57"/>
      <c r="I108" s="50"/>
      <c r="J108" s="50"/>
      <c r="K108" s="50"/>
      <c r="L108" s="50"/>
      <c r="M108" s="50"/>
      <c r="N108" s="50"/>
      <c r="O108" s="62"/>
      <c r="P108" s="19"/>
      <c r="Q108" s="19"/>
      <c r="R108" s="19"/>
      <c r="S108" s="19"/>
      <c r="T108" s="19"/>
      <c r="U108" s="19"/>
      <c r="V108" s="19"/>
    </row>
    <row r="109" spans="1:22" ht="12.75">
      <c r="A109" s="57"/>
      <c r="B109" s="58"/>
      <c r="C109" s="57"/>
      <c r="D109" s="57"/>
      <c r="E109" s="57"/>
      <c r="F109" s="57"/>
      <c r="G109" s="59"/>
      <c r="H109" s="57"/>
      <c r="I109" s="50"/>
      <c r="J109" s="50"/>
      <c r="K109" s="50"/>
      <c r="L109" s="50"/>
      <c r="M109" s="50"/>
      <c r="N109" s="50"/>
      <c r="O109" s="62"/>
      <c r="P109" s="19"/>
      <c r="Q109" s="19"/>
      <c r="R109" s="19"/>
      <c r="S109" s="19"/>
      <c r="T109" s="19"/>
      <c r="U109" s="19"/>
      <c r="V109" s="19"/>
    </row>
    <row r="110" spans="1:22" ht="12.75">
      <c r="A110" s="19"/>
      <c r="B110" s="24"/>
      <c r="C110" s="24"/>
      <c r="D110" s="24"/>
      <c r="E110" s="24"/>
      <c r="F110" s="24"/>
      <c r="G110" s="24"/>
      <c r="H110" s="52"/>
      <c r="I110" s="53"/>
      <c r="J110" s="53"/>
      <c r="K110" s="53"/>
      <c r="L110" s="24"/>
      <c r="M110" s="24"/>
      <c r="N110" s="24"/>
      <c r="O110" s="19"/>
      <c r="P110" s="19"/>
      <c r="Q110" s="19"/>
      <c r="R110" s="19"/>
      <c r="S110" s="19"/>
      <c r="T110" s="19"/>
      <c r="U110" s="19"/>
      <c r="V110" s="19"/>
    </row>
    <row r="111" spans="1:22" ht="12.75">
      <c r="A111" s="19"/>
      <c r="B111" s="24"/>
      <c r="C111" s="24"/>
      <c r="D111" s="24"/>
      <c r="E111" s="24"/>
      <c r="F111" s="24"/>
      <c r="G111" s="24"/>
      <c r="H111" s="52"/>
      <c r="I111" s="53"/>
      <c r="J111" s="53"/>
      <c r="K111" s="53"/>
      <c r="L111" s="24"/>
      <c r="M111" s="24"/>
      <c r="N111" s="24"/>
      <c r="O111" s="19"/>
      <c r="P111" s="19"/>
      <c r="Q111" s="19"/>
      <c r="R111" s="19"/>
      <c r="S111" s="19"/>
      <c r="T111" s="19"/>
      <c r="U111" s="19"/>
      <c r="V111" s="19"/>
    </row>
    <row r="112" spans="1:22" ht="12.75">
      <c r="A112" s="19"/>
      <c r="B112" s="24"/>
      <c r="C112" s="24"/>
      <c r="D112" s="24"/>
      <c r="E112" s="24"/>
      <c r="F112" s="24"/>
      <c r="G112" s="24"/>
      <c r="H112" s="52"/>
      <c r="I112" s="53"/>
      <c r="J112" s="53"/>
      <c r="K112" s="53"/>
      <c r="L112" s="24"/>
      <c r="M112" s="24"/>
      <c r="N112" s="24"/>
      <c r="O112" s="19"/>
      <c r="P112" s="19"/>
      <c r="Q112" s="19"/>
      <c r="R112" s="19"/>
      <c r="S112" s="19"/>
      <c r="T112" s="19"/>
      <c r="U112" s="19"/>
      <c r="V112" s="19"/>
    </row>
    <row r="113" spans="1:22" ht="12.75">
      <c r="A113" s="19"/>
      <c r="B113" s="24"/>
      <c r="C113" s="24"/>
      <c r="D113" s="24"/>
      <c r="E113" s="24"/>
      <c r="F113" s="24"/>
      <c r="G113" s="24"/>
      <c r="H113" s="52"/>
      <c r="I113" s="53"/>
      <c r="J113" s="53"/>
      <c r="K113" s="53"/>
      <c r="L113" s="24"/>
      <c r="M113" s="24"/>
      <c r="N113" s="24"/>
      <c r="O113" s="19"/>
      <c r="P113" s="19"/>
      <c r="Q113" s="19"/>
      <c r="R113" s="19"/>
      <c r="S113" s="19"/>
      <c r="T113" s="19"/>
      <c r="U113" s="19"/>
      <c r="V113" s="19"/>
    </row>
    <row r="114" spans="1:22" ht="12.75">
      <c r="A114" s="19"/>
      <c r="B114" s="24"/>
      <c r="C114" s="24"/>
      <c r="D114" s="24"/>
      <c r="E114" s="24"/>
      <c r="F114" s="24"/>
      <c r="G114" s="24"/>
      <c r="H114" s="52"/>
      <c r="I114" s="53"/>
      <c r="J114" s="53"/>
      <c r="K114" s="53"/>
      <c r="L114" s="24"/>
      <c r="M114" s="24"/>
      <c r="N114" s="24"/>
      <c r="O114" s="19"/>
      <c r="P114" s="19"/>
      <c r="Q114" s="19"/>
      <c r="R114" s="19"/>
      <c r="S114" s="19"/>
      <c r="T114" s="19"/>
      <c r="U114" s="19"/>
      <c r="V114" s="19"/>
    </row>
    <row r="115" spans="1:22" ht="12.75">
      <c r="A115" s="19"/>
      <c r="B115" s="24"/>
      <c r="C115" s="24"/>
      <c r="D115" s="24"/>
      <c r="E115" s="24"/>
      <c r="F115" s="24"/>
      <c r="G115" s="24"/>
      <c r="H115" s="52"/>
      <c r="I115" s="53"/>
      <c r="J115" s="53"/>
      <c r="K115" s="53"/>
      <c r="L115" s="24"/>
      <c r="M115" s="24"/>
      <c r="N115" s="24"/>
      <c r="O115" s="19"/>
      <c r="P115" s="19"/>
      <c r="Q115" s="19"/>
      <c r="R115" s="19"/>
      <c r="S115" s="19"/>
      <c r="T115" s="19"/>
      <c r="U115" s="19"/>
      <c r="V115" s="19"/>
    </row>
  </sheetData>
  <sheetProtection password="C337" sheet="1" objects="1" scenarios="1"/>
  <printOptions/>
  <pageMargins left="0.4" right="0.49" top="0.46" bottom="0.55" header="0.34" footer="0.33"/>
  <pageSetup horizontalDpi="300" verticalDpi="300" orientation="landscape" r:id="rId7"/>
  <drawing r:id="rId6"/>
  <legacyDrawing r:id="rId5"/>
  <oleObjects>
    <oleObject progId="Visio.Drawing.6" shapeId="1469729" r:id="rId2"/>
    <oleObject progId="Visio.Drawing.6" shapeId="1871461" r:id="rId3"/>
    <oleObject progId="Visio.Drawing.6" shapeId="601837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X85"/>
  <sheetViews>
    <sheetView tabSelected="1" workbookViewId="0" topLeftCell="A1">
      <selection activeCell="D11" sqref="D11"/>
    </sheetView>
  </sheetViews>
  <sheetFormatPr defaultColWidth="9.140625" defaultRowHeight="12" customHeight="1"/>
  <cols>
    <col min="1" max="1" width="5.8515625" style="8" customWidth="1"/>
    <col min="2" max="2" width="7.421875" style="8" customWidth="1"/>
    <col min="3" max="3" width="6.421875" style="8" customWidth="1"/>
    <col min="4" max="4" width="6.140625" style="8" customWidth="1"/>
    <col min="5" max="5" width="6.57421875" style="8" customWidth="1"/>
    <col min="6" max="6" width="6.00390625" style="8" customWidth="1"/>
    <col min="7" max="7" width="6.7109375" style="63" customWidth="1"/>
    <col min="8" max="8" width="4.7109375" style="8" customWidth="1"/>
    <col min="9" max="9" width="6.421875" style="8" customWidth="1"/>
    <col min="10" max="10" width="7.140625" style="8" customWidth="1"/>
    <col min="11" max="11" width="6.8515625" style="8" customWidth="1"/>
    <col min="12" max="12" width="7.28125" style="8" customWidth="1"/>
    <col min="13" max="13" width="6.57421875" style="8" customWidth="1"/>
    <col min="14" max="14" width="7.28125" style="8" customWidth="1"/>
    <col min="15" max="15" width="1.57421875" style="12" customWidth="1"/>
    <col min="16" max="16" width="10.28125" style="8" hidden="1" customWidth="1"/>
    <col min="17" max="17" width="11.28125" style="64" hidden="1" customWidth="1"/>
    <col min="18" max="18" width="11.00390625" style="64" hidden="1" customWidth="1"/>
    <col min="19" max="19" width="0" style="8" hidden="1" customWidth="1"/>
    <col min="20" max="20" width="10.421875" style="8" hidden="1" customWidth="1"/>
    <col min="21" max="21" width="11.421875" style="8" hidden="1" customWidth="1"/>
    <col min="22" max="22" width="10.28125" style="8" hidden="1" customWidth="1"/>
    <col min="23" max="23" width="10.140625" style="8" hidden="1" customWidth="1"/>
    <col min="24" max="24" width="12.00390625" style="8" hidden="1" customWidth="1"/>
    <col min="25" max="16384" width="9.140625" style="8" customWidth="1"/>
  </cols>
  <sheetData>
    <row r="1" spans="9:11" ht="12" customHeight="1">
      <c r="I1" s="9"/>
      <c r="J1" s="9"/>
      <c r="K1" s="9"/>
    </row>
    <row r="2" spans="1:18" ht="12" customHeight="1">
      <c r="A2" s="65" t="s">
        <v>24</v>
      </c>
      <c r="B2" s="66"/>
      <c r="C2" s="67"/>
      <c r="G2" s="68"/>
      <c r="I2" s="32"/>
      <c r="J2" s="32"/>
      <c r="K2" s="32"/>
      <c r="L2" s="69"/>
      <c r="M2" s="40"/>
      <c r="Q2" s="70"/>
      <c r="R2" s="70"/>
    </row>
    <row r="3" spans="1:18" ht="12" customHeight="1">
      <c r="A3" s="71" t="s">
        <v>17</v>
      </c>
      <c r="B3" s="29"/>
      <c r="C3" s="4">
        <v>208</v>
      </c>
      <c r="D3" s="71"/>
      <c r="E3" s="72" t="s">
        <v>36</v>
      </c>
      <c r="F3" s="73">
        <f>C3/(3^0.5)</f>
        <v>120.08885599144216</v>
      </c>
      <c r="J3" s="40"/>
      <c r="Q3" s="74"/>
      <c r="R3" s="59"/>
    </row>
    <row r="4" spans="1:14" ht="12" customHeight="1">
      <c r="A4" s="75"/>
      <c r="B4" s="76"/>
      <c r="C4" s="75"/>
      <c r="D4" s="75"/>
      <c r="E4" s="75"/>
      <c r="F4" s="75"/>
      <c r="G4" s="77"/>
      <c r="H4" s="78"/>
      <c r="I4" s="75"/>
      <c r="J4" s="75"/>
      <c r="K4" s="75"/>
      <c r="L4" s="75"/>
      <c r="M4" s="75"/>
      <c r="N4" s="75"/>
    </row>
    <row r="5" spans="1:24" ht="12" customHeight="1">
      <c r="A5" s="25" t="s">
        <v>86</v>
      </c>
      <c r="B5" s="28"/>
      <c r="C5" s="25" t="s">
        <v>16</v>
      </c>
      <c r="D5" s="79"/>
      <c r="E5" s="27" t="s">
        <v>5</v>
      </c>
      <c r="F5" s="35" t="s">
        <v>3</v>
      </c>
      <c r="G5" s="80" t="s">
        <v>10</v>
      </c>
      <c r="H5" s="81"/>
      <c r="I5" s="82" t="s">
        <v>12</v>
      </c>
      <c r="J5" s="83"/>
      <c r="K5" s="84" t="s">
        <v>13</v>
      </c>
      <c r="L5" s="83"/>
      <c r="M5" s="84" t="s">
        <v>25</v>
      </c>
      <c r="N5" s="83"/>
      <c r="P5" s="35" t="s">
        <v>90</v>
      </c>
      <c r="Q5" s="85" t="s">
        <v>38</v>
      </c>
      <c r="R5" s="86"/>
      <c r="S5" s="40"/>
      <c r="T5" s="85" t="s">
        <v>80</v>
      </c>
      <c r="U5" s="86"/>
      <c r="V5" s="40"/>
      <c r="W5" s="85" t="s">
        <v>81</v>
      </c>
      <c r="X5" s="86"/>
    </row>
    <row r="6" spans="1:24" ht="12" customHeight="1" thickBot="1">
      <c r="A6" s="87" t="s">
        <v>18</v>
      </c>
      <c r="B6" s="87" t="s">
        <v>0</v>
      </c>
      <c r="C6" s="88" t="s">
        <v>1</v>
      </c>
      <c r="D6" s="87" t="s">
        <v>4</v>
      </c>
      <c r="E6" s="89" t="s">
        <v>2</v>
      </c>
      <c r="F6" s="90" t="s">
        <v>11</v>
      </c>
      <c r="G6" s="91" t="s">
        <v>9</v>
      </c>
      <c r="H6" s="92" t="s">
        <v>7</v>
      </c>
      <c r="I6" s="93" t="s">
        <v>19</v>
      </c>
      <c r="J6" s="94" t="s">
        <v>14</v>
      </c>
      <c r="K6" s="93" t="s">
        <v>19</v>
      </c>
      <c r="L6" s="94" t="s">
        <v>14</v>
      </c>
      <c r="M6" s="93" t="s">
        <v>19</v>
      </c>
      <c r="N6" s="94" t="s">
        <v>14</v>
      </c>
      <c r="P6" s="95">
        <f>(I10*$C$3*3^0.5)*COS(RADIANS(-30-J10))</f>
        <v>16455.77737447067</v>
      </c>
      <c r="Q6" s="96" t="s">
        <v>26</v>
      </c>
      <c r="R6" s="96" t="s">
        <v>37</v>
      </c>
      <c r="S6" s="40"/>
      <c r="T6" s="96" t="s">
        <v>26</v>
      </c>
      <c r="U6" s="96" t="s">
        <v>37</v>
      </c>
      <c r="V6" s="40"/>
      <c r="W6" s="96" t="s">
        <v>26</v>
      </c>
      <c r="X6" s="96" t="s">
        <v>37</v>
      </c>
    </row>
    <row r="7" spans="1:24" ht="12" customHeight="1">
      <c r="A7" s="1">
        <v>1</v>
      </c>
      <c r="B7" s="3" t="s">
        <v>119</v>
      </c>
      <c r="C7" s="1"/>
      <c r="D7" s="1">
        <v>7</v>
      </c>
      <c r="E7" s="1"/>
      <c r="F7" s="1">
        <v>95</v>
      </c>
      <c r="G7" s="5"/>
      <c r="H7" s="1"/>
      <c r="I7" s="97">
        <f>IF(B7="motor",(C7*746/(F7/100))/G7/$C$3/3^0.5,IF(B7="KVA",E7*1000/$C$3/3^0.5,IF(B7="KW",D7*1000/(F7/100)/$C$3/3^0.5,0)))</f>
        <v>20.45269172230456</v>
      </c>
      <c r="J7" s="97">
        <f>IF(I7=0,0,IF(B7="KW",-30,IF(H7="L",-(30+DEGREES(ACOS(G7))),IF(H7="C",(-30+DEGREES(ACOS(G7))),"L or C ?"))))</f>
        <v>-30</v>
      </c>
      <c r="K7" s="97">
        <f>I7</f>
        <v>20.45269172230456</v>
      </c>
      <c r="L7" s="97">
        <f>IF(I7=0,0,IF(B7="KW",-150,IF(H7="L",-(150+DEGREES(ACOS(G7))),IF(H7="C",(-150+DEGREES(ACOS(G7))),"L or C ?"))))</f>
        <v>-150</v>
      </c>
      <c r="M7" s="97">
        <f>I7</f>
        <v>20.45269172230456</v>
      </c>
      <c r="N7" s="97">
        <f>IF(I7=0,0,IF(B7="KW",90,IF(H7="L",(90-DEGREES(ACOS(G7))),IF(H7="C",(90+DEGREES(ACOS(G7))),"L or C ?"))))</f>
        <v>90</v>
      </c>
      <c r="P7" s="35" t="s">
        <v>91</v>
      </c>
      <c r="Q7" s="38">
        <f>I7*COS(RADIANS(J7))</f>
        <v>17.712550607287454</v>
      </c>
      <c r="R7" s="38">
        <f>I7*SIN(RADIANS(J7))</f>
        <v>-10.226345861152279</v>
      </c>
      <c r="S7" s="40"/>
      <c r="T7" s="38">
        <f>K7*COS(RADIANS(L7))</f>
        <v>-17.712550607287454</v>
      </c>
      <c r="U7" s="38">
        <f>K7*SIN(RADIANS(L7))</f>
        <v>-10.226345861152279</v>
      </c>
      <c r="V7" s="40"/>
      <c r="W7" s="38">
        <f>M7*COS(RADIANS(N7))</f>
        <v>1.2528791831151878E-15</v>
      </c>
      <c r="X7" s="38">
        <f>M7*SIN(RADIANS(N7))</f>
        <v>20.45269172230456</v>
      </c>
    </row>
    <row r="8" spans="1:24" ht="12" customHeight="1">
      <c r="A8" s="2">
        <v>2</v>
      </c>
      <c r="B8" s="3" t="s">
        <v>124</v>
      </c>
      <c r="C8" s="2"/>
      <c r="D8" s="2"/>
      <c r="E8" s="2">
        <v>6</v>
      </c>
      <c r="F8" s="2"/>
      <c r="G8" s="6">
        <v>0.8</v>
      </c>
      <c r="H8" s="2" t="s">
        <v>8</v>
      </c>
      <c r="I8" s="97">
        <f>IF(B8="motor",(C8*746/(F8/100))/G8/$C$3/3^0.5,IF(B8="KVA",E8*1000/$C$3/3^0.5,IF(B8="KW",D8*1000/(F8/100)/$C$3/3^0.5,0)))</f>
        <v>16.654334688162283</v>
      </c>
      <c r="J8" s="97">
        <f>IF(I8=0,0,IF(B8="KW",-30,IF(H8="L",-(30+DEGREES(ACOS(G8))),IF(H8="C",(-30+DEGREES(ACOS(G8))),"L or C ?"))))</f>
        <v>-66.86989764584402</v>
      </c>
      <c r="K8" s="97">
        <f>I8</f>
        <v>16.654334688162283</v>
      </c>
      <c r="L8" s="97">
        <f>IF(I8=0,0,IF(B8="KW",-150,IF(H8="L",-(150+DEGREES(ACOS(G8))),IF(H8="C",(-150+DEGREES(ACOS(G8))),"L or C ?"))))</f>
        <v>-186.86989764584402</v>
      </c>
      <c r="M8" s="97">
        <f>I8</f>
        <v>16.654334688162283</v>
      </c>
      <c r="N8" s="97">
        <f>IF(I8=0,0,IF(B8="KW",90,IF(H8="L",(90-DEGREES(ACOS(G8))),IF(H8="C",(90+DEGREES(ACOS(G8))),"L or C ?"))))</f>
        <v>53.13010235415599</v>
      </c>
      <c r="P8" s="95">
        <f>(I10*$C$3*3^0.5)*SIN(RADIANS(-30-J10))</f>
        <v>5676.461437982977</v>
      </c>
      <c r="Q8" s="38">
        <f>I8*COS(RADIANS(J8))</f>
        <v>6.542161132012856</v>
      </c>
      <c r="R8" s="38">
        <f>I8*SIN(RADIANS(J8))</f>
        <v>-15.315580029111068</v>
      </c>
      <c r="S8" s="40"/>
      <c r="T8" s="38">
        <f>K8*COS(RADIANS(L8))</f>
        <v>-16.534761944910226</v>
      </c>
      <c r="U8" s="38">
        <f>K8*SIN(RADIANS(L8))</f>
        <v>1.9921122785812402</v>
      </c>
      <c r="V8" s="40"/>
      <c r="W8" s="38">
        <f>M8*COS(RADIANS(N8))</f>
        <v>9.992600812897368</v>
      </c>
      <c r="X8" s="38">
        <f>M8*SIN(RADIANS(N8))</f>
        <v>13.32346775052983</v>
      </c>
    </row>
    <row r="9" spans="1:24" ht="12" customHeight="1">
      <c r="A9" s="2">
        <v>3</v>
      </c>
      <c r="B9" s="3" t="s">
        <v>125</v>
      </c>
      <c r="C9" s="2">
        <v>5</v>
      </c>
      <c r="D9" s="2"/>
      <c r="E9" s="2"/>
      <c r="F9" s="2">
        <v>87</v>
      </c>
      <c r="G9" s="6">
        <v>0.9</v>
      </c>
      <c r="H9" s="2" t="s">
        <v>8</v>
      </c>
      <c r="I9" s="97">
        <f>IF(B9="motor",(C9*746/(F9/100))/G9/$C$3/3^0.5,IF(B9="KVA",E9*1000/$C$3/3^0.5,IF(B9="KW",D9*1000/(F9/100)/$C$3/3^0.5,0)))</f>
        <v>13.222790205799344</v>
      </c>
      <c r="J9" s="97">
        <f>IF(I9=0,0,IF(B9="KW",-30,IF(H9="L",-(30+DEGREES(ACOS(G9))),IF(H9="C",(-30+DEGREES(ACOS(G9))),"L or C ?"))))</f>
        <v>-55.84193276316712</v>
      </c>
      <c r="K9" s="97">
        <f>I9</f>
        <v>13.222790205799344</v>
      </c>
      <c r="L9" s="97">
        <f>IF(I9=0,0,IF(B9="KW",-150,IF(H9="L",-(150+DEGREES(ACOS(G9))),IF(H9="C",(-150+DEGREES(ACOS(G9))),"L or C ?"))))</f>
        <v>-175.84193276316714</v>
      </c>
      <c r="M9" s="97">
        <f>I9</f>
        <v>13.222790205799344</v>
      </c>
      <c r="N9" s="97">
        <f>IF(I9=0,0,IF(B9="KW",90,IF(H9="L",(90-DEGREES(ACOS(G9))),IF(H9="C",(90+DEGREES(ACOS(G9))),"L or C ?"))))</f>
        <v>64.15806723683288</v>
      </c>
      <c r="P9" s="32" t="s">
        <v>118</v>
      </c>
      <c r="Q9" s="38">
        <f>I9*COS(RADIANS(J9))</f>
        <v>7.4243046914849335</v>
      </c>
      <c r="R9" s="38">
        <f>I9*SIN(RADIANS(J9))</f>
        <v>-10.941749433914937</v>
      </c>
      <c r="S9" s="40"/>
      <c r="T9" s="38">
        <f>K9*COS(RADIANS(L9))</f>
        <v>-13.187985317356803</v>
      </c>
      <c r="U9" s="38">
        <f>K9*SIN(RADIANS(L9))</f>
        <v>-0.9587617513044706</v>
      </c>
      <c r="V9" s="40"/>
      <c r="W9" s="38">
        <f>M9*COS(RADIANS(N9))</f>
        <v>5.7636806258718725</v>
      </c>
      <c r="X9" s="38">
        <f>M9*SIN(RADIANS(N9))</f>
        <v>11.90051118521941</v>
      </c>
    </row>
    <row r="10" spans="1:24" ht="12" customHeight="1">
      <c r="A10" s="99"/>
      <c r="B10" s="100"/>
      <c r="C10" s="99"/>
      <c r="D10" s="99"/>
      <c r="E10" s="99"/>
      <c r="F10" s="99"/>
      <c r="G10" s="101"/>
      <c r="H10" s="102" t="s">
        <v>35</v>
      </c>
      <c r="I10" s="103">
        <f>((Q10^2+R10^2)^0.5)</f>
        <v>48.31789158460888</v>
      </c>
      <c r="J10" s="95">
        <f>IF(Q11=FALSE,DEGREES(ATAN2(Q10,R10)),0)</f>
        <v>-49.03200191481502</v>
      </c>
      <c r="K10" s="104">
        <f>I10</f>
        <v>48.31789158460888</v>
      </c>
      <c r="L10" s="95">
        <f>IF(Q11=FALSE,DEGREES(ATAN2(T10,U10)),0)</f>
        <v>-169.03200191481503</v>
      </c>
      <c r="M10" s="103">
        <f>I10</f>
        <v>48.31789158460888</v>
      </c>
      <c r="N10" s="95">
        <f>IF(Q11=FALSE,DEGREES(ATAN2(W10,X10)),0)</f>
        <v>70.96799808518499</v>
      </c>
      <c r="P10" s="105" t="s">
        <v>35</v>
      </c>
      <c r="Q10" s="38">
        <f>SUM(Q7:Q9)</f>
        <v>31.679016430785246</v>
      </c>
      <c r="R10" s="38">
        <f>SUM(R7:R9)</f>
        <v>-36.483675324178286</v>
      </c>
      <c r="S10" s="105" t="s">
        <v>35</v>
      </c>
      <c r="T10" s="38">
        <f>SUM(T7:T9)</f>
        <v>-47.43529786955449</v>
      </c>
      <c r="U10" s="38">
        <f>SUM(U7:U9)</f>
        <v>-9.192995333875508</v>
      </c>
      <c r="V10" s="105" t="s">
        <v>35</v>
      </c>
      <c r="W10" s="38">
        <f>SUM(W7:W9)</f>
        <v>15.756281438769243</v>
      </c>
      <c r="X10" s="38">
        <f>SUM(X7:X9)</f>
        <v>45.6766706580538</v>
      </c>
    </row>
    <row r="11" spans="1:18" ht="12" customHeight="1">
      <c r="A11" s="99"/>
      <c r="B11" s="100"/>
      <c r="C11" s="99"/>
      <c r="D11" s="99"/>
      <c r="E11" s="99" t="s">
        <v>6</v>
      </c>
      <c r="F11" s="99"/>
      <c r="G11" s="106"/>
      <c r="H11" s="107"/>
      <c r="I11" s="108"/>
      <c r="J11" s="108"/>
      <c r="K11" s="108"/>
      <c r="L11" s="108"/>
      <c r="M11" s="108"/>
      <c r="N11" s="108"/>
      <c r="P11" s="109" t="s">
        <v>120</v>
      </c>
      <c r="Q11" s="74" t="b">
        <f>AND(Q10=0,R10=0)</f>
        <v>0</v>
      </c>
      <c r="R11" s="110"/>
    </row>
    <row r="12" spans="1:24" ht="12" customHeight="1">
      <c r="A12" s="25" t="s">
        <v>87</v>
      </c>
      <c r="B12" s="28"/>
      <c r="C12" s="25" t="s">
        <v>16</v>
      </c>
      <c r="D12" s="79"/>
      <c r="E12" s="27" t="s">
        <v>5</v>
      </c>
      <c r="F12" s="35" t="s">
        <v>3</v>
      </c>
      <c r="G12" s="80" t="s">
        <v>10</v>
      </c>
      <c r="H12" s="81"/>
      <c r="I12" s="82" t="s">
        <v>12</v>
      </c>
      <c r="J12" s="83"/>
      <c r="K12" s="84" t="s">
        <v>13</v>
      </c>
      <c r="L12" s="83"/>
      <c r="M12" s="84" t="s">
        <v>25</v>
      </c>
      <c r="N12" s="83"/>
      <c r="P12" s="35" t="s">
        <v>92</v>
      </c>
      <c r="Q12" s="85" t="s">
        <v>39</v>
      </c>
      <c r="R12" s="86"/>
      <c r="S12" s="40"/>
      <c r="T12" s="85" t="s">
        <v>82</v>
      </c>
      <c r="U12" s="86"/>
      <c r="V12" s="40"/>
      <c r="W12" s="85" t="s">
        <v>83</v>
      </c>
      <c r="X12" s="86"/>
    </row>
    <row r="13" spans="1:24" ht="12" customHeight="1" thickBot="1">
      <c r="A13" s="87" t="s">
        <v>18</v>
      </c>
      <c r="B13" s="87" t="s">
        <v>0</v>
      </c>
      <c r="C13" s="88" t="s">
        <v>1</v>
      </c>
      <c r="D13" s="87" t="s">
        <v>4</v>
      </c>
      <c r="E13" s="89" t="s">
        <v>2</v>
      </c>
      <c r="F13" s="90" t="s">
        <v>11</v>
      </c>
      <c r="G13" s="91" t="s">
        <v>9</v>
      </c>
      <c r="H13" s="92" t="s">
        <v>7</v>
      </c>
      <c r="I13" s="93" t="s">
        <v>19</v>
      </c>
      <c r="J13" s="94" t="s">
        <v>14</v>
      </c>
      <c r="K13" s="93" t="s">
        <v>19</v>
      </c>
      <c r="L13" s="94" t="s">
        <v>14</v>
      </c>
      <c r="M13" s="93" t="s">
        <v>19</v>
      </c>
      <c r="N13" s="94" t="s">
        <v>14</v>
      </c>
      <c r="P13" s="95">
        <f>(I17*$C$3*3^0.5)*COS(RADIANS(-30-J17))</f>
        <v>19248.35164835165</v>
      </c>
      <c r="Q13" s="96" t="s">
        <v>26</v>
      </c>
      <c r="R13" s="96" t="s">
        <v>37</v>
      </c>
      <c r="S13" s="40"/>
      <c r="T13" s="96" t="s">
        <v>26</v>
      </c>
      <c r="U13" s="96" t="s">
        <v>37</v>
      </c>
      <c r="V13" s="40"/>
      <c r="W13" s="96" t="s">
        <v>26</v>
      </c>
      <c r="X13" s="96" t="s">
        <v>37</v>
      </c>
    </row>
    <row r="14" spans="1:24" ht="12" customHeight="1">
      <c r="A14" s="1">
        <v>1</v>
      </c>
      <c r="B14" s="3" t="s">
        <v>119</v>
      </c>
      <c r="C14" s="1"/>
      <c r="D14" s="1">
        <v>3.5</v>
      </c>
      <c r="E14" s="1"/>
      <c r="F14" s="1">
        <v>100</v>
      </c>
      <c r="G14" s="5"/>
      <c r="H14" s="1"/>
      <c r="I14" s="97">
        <f>IF(B14="motor",(C14*746/(F14/100))/G14/$C$3/3^0.5,IF(B14="KVA",E14*1000/$C$3/3^0.5,IF(B14="KW",D14*1000/(F14/100)/$C$3/3^0.5,0)))</f>
        <v>9.715028568094665</v>
      </c>
      <c r="J14" s="97">
        <f>IF(I14=0,0,IF(B14="KW",-30,IF(H14="L",-(30+DEGREES(ACOS(G14))),IF(H14="C",(-30+DEGREES(ACOS(G14))),"L or C ?"))))</f>
        <v>-30</v>
      </c>
      <c r="K14" s="97">
        <f>I14</f>
        <v>9.715028568094665</v>
      </c>
      <c r="L14" s="97">
        <f>IF(I14=0,0,IF(B14="KW",-150,IF(H14="L",-(150+DEGREES(ACOS(G14))),IF(H14="C",(-150+DEGREES(ACOS(G14))),"L or C ?"))))</f>
        <v>-150</v>
      </c>
      <c r="M14" s="97">
        <f>I14</f>
        <v>9.715028568094665</v>
      </c>
      <c r="N14" s="97">
        <f>IF(I14=0,0,IF(B14="KW",90,IF(H14="L",(90-DEGREES(ACOS(G14))),IF(H14="C",(90+DEGREES(ACOS(G14))),"L or C ?"))))</f>
        <v>90</v>
      </c>
      <c r="P14" s="35" t="s">
        <v>93</v>
      </c>
      <c r="Q14" s="38">
        <f>I14*COS(RADIANS(J14))</f>
        <v>8.41346153846154</v>
      </c>
      <c r="R14" s="38">
        <f>I14*SIN(RADIANS(J14))</f>
        <v>-4.8575142840473315</v>
      </c>
      <c r="S14" s="40"/>
      <c r="T14" s="38">
        <f>K14*COS(RADIANS(L14))</f>
        <v>-8.41346153846154</v>
      </c>
      <c r="U14" s="38">
        <f>K14*SIN(RADIANS(L14))</f>
        <v>-4.8575142840473315</v>
      </c>
      <c r="V14" s="40"/>
      <c r="W14" s="38">
        <f>M14*COS(RADIANS(N14))</f>
        <v>5.951176119797141E-16</v>
      </c>
      <c r="X14" s="38">
        <f>M14*SIN(RADIANS(N14))</f>
        <v>9.715028568094665</v>
      </c>
    </row>
    <row r="15" spans="1:24" ht="12" customHeight="1">
      <c r="A15" s="2">
        <v>2</v>
      </c>
      <c r="B15" s="3" t="s">
        <v>124</v>
      </c>
      <c r="C15" s="2"/>
      <c r="D15" s="2"/>
      <c r="E15" s="2">
        <v>10</v>
      </c>
      <c r="F15" s="2"/>
      <c r="G15" s="6">
        <v>0.96</v>
      </c>
      <c r="H15" s="2" t="s">
        <v>121</v>
      </c>
      <c r="I15" s="97">
        <f>IF(B15="motor",(C15*746/(F15/100))/G15/$C$3/3^0.5,IF(B15="KVA",E15*1000/$C$3/3^0.5,IF(B15="KW",D15*1000/(F15/100)/$C$3/3^0.5,0)))</f>
        <v>27.757224480270473</v>
      </c>
      <c r="J15" s="97">
        <f>IF(I15=0,0,IF(B15="KW",-30,IF(H15="L",-(30+DEGREES(ACOS(G15))),IF(H15="C",(-30+DEGREES(ACOS(G15))),"L or C ?"))))</f>
        <v>-13.73979529168803</v>
      </c>
      <c r="K15" s="97">
        <f>I15</f>
        <v>27.757224480270473</v>
      </c>
      <c r="L15" s="97">
        <f>IF(I15=0,0,IF(B15="KW",-150,IF(H15="L",-(150+DEGREES(ACOS(G15))),IF(H15="C",(-150+DEGREES(ACOS(G15))),"L or C ?"))))</f>
        <v>-133.73979529168804</v>
      </c>
      <c r="M15" s="97">
        <f>I15</f>
        <v>27.757224480270473</v>
      </c>
      <c r="N15" s="97">
        <f>IF(I15=0,0,IF(B15="KW",90,IF(H15="L",(90-DEGREES(ACOS(G15))),IF(H15="C",(90+DEGREES(ACOS(G15))),"L or C ?"))))</f>
        <v>106.26020470831197</v>
      </c>
      <c r="P15" s="95">
        <f>(I17*$C$3*3^0.5)*SIN(RADIANS(-30-J17))</f>
        <v>-180.81316562410873</v>
      </c>
      <c r="Q15" s="38">
        <f>I15*COS(RADIANS(J15))</f>
        <v>26.96293450416095</v>
      </c>
      <c r="R15" s="38">
        <f>I15*SIN(RADIANS(J15))</f>
        <v>-6.592698519760589</v>
      </c>
      <c r="S15" s="40"/>
      <c r="T15" s="38">
        <f>K15*COS(RADIANS(L15))</f>
        <v>-19.190911649685212</v>
      </c>
      <c r="U15" s="38">
        <f>K15*SIN(RADIANS(L15))</f>
        <v>-20.054236981299063</v>
      </c>
      <c r="V15" s="40"/>
      <c r="W15" s="38">
        <f>M15*COS(RADIANS(N15))</f>
        <v>-7.772022854475742</v>
      </c>
      <c r="X15" s="38">
        <f>M15*SIN(RADIANS(N15))</f>
        <v>26.64693550105965</v>
      </c>
    </row>
    <row r="16" spans="1:24" ht="12" customHeight="1">
      <c r="A16" s="2">
        <v>3</v>
      </c>
      <c r="B16" s="3" t="s">
        <v>125</v>
      </c>
      <c r="C16" s="2">
        <v>7.5</v>
      </c>
      <c r="D16" s="2"/>
      <c r="E16" s="2"/>
      <c r="F16" s="2">
        <v>91</v>
      </c>
      <c r="G16" s="6">
        <v>0.92</v>
      </c>
      <c r="H16" s="2" t="s">
        <v>8</v>
      </c>
      <c r="I16" s="97">
        <f>IF(B16="motor",(C16*746/(F16/100))/G16/$C$3/3^0.5,IF(B16="KVA",E16*1000/$C$3/3^0.5,IF(B16="KW",D16*1000/(F16/100)/$C$3/3^0.5,0)))</f>
        <v>18.55012792249322</v>
      </c>
      <c r="J16" s="97">
        <f>IF(I16=0,0,IF(B16="KW",-30,IF(H16="L",-(30+DEGREES(ACOS(G16))),IF(H16="C",(-30+DEGREES(ACOS(G16))),"L or C ?"))))</f>
        <v>-53.07391806563096</v>
      </c>
      <c r="K16" s="97">
        <f>I16</f>
        <v>18.55012792249322</v>
      </c>
      <c r="L16" s="97">
        <f>IF(I16=0,0,IF(B16="KW",-150,IF(H16="L",-(150+DEGREES(ACOS(G16))),IF(H16="C",(-150+DEGREES(ACOS(G16))),"L or C ?"))))</f>
        <v>-173.07391806563095</v>
      </c>
      <c r="M16" s="97">
        <f>I16</f>
        <v>18.55012792249322</v>
      </c>
      <c r="N16" s="97">
        <f>IF(I16=0,0,IF(B16="KW",90,IF(H16="L",(90-DEGREES(ACOS(G16))),IF(H16="C",(90+DEGREES(ACOS(G16))),"L or C ?"))))</f>
        <v>66.92608193436904</v>
      </c>
      <c r="P16" s="32" t="s">
        <v>118</v>
      </c>
      <c r="Q16" s="38">
        <f>I16*COS(RADIANS(J16))</f>
        <v>11.144623616506733</v>
      </c>
      <c r="R16" s="38">
        <f>I16*SIN(RADIANS(J16))</f>
        <v>-14.829181042365862</v>
      </c>
      <c r="S16" s="40"/>
      <c r="T16" s="38">
        <f>K16*COS(RADIANS(L16))</f>
        <v>-18.414759308260802</v>
      </c>
      <c r="U16" s="38">
        <f>K16*SIN(RADIANS(L16))</f>
        <v>-2.236936646327912</v>
      </c>
      <c r="V16" s="40"/>
      <c r="W16" s="38">
        <f>M16*COS(RADIANS(N16))</f>
        <v>7.270135691754072</v>
      </c>
      <c r="X16" s="38">
        <f>M16*SIN(RADIANS(N16))</f>
        <v>17.066117688693765</v>
      </c>
    </row>
    <row r="17" spans="1:24" ht="12" customHeight="1">
      <c r="A17" s="99"/>
      <c r="C17" s="99"/>
      <c r="D17" s="99" t="s">
        <v>6</v>
      </c>
      <c r="E17" s="99"/>
      <c r="F17" s="99"/>
      <c r="G17" s="101"/>
      <c r="H17" s="102" t="s">
        <v>35</v>
      </c>
      <c r="I17" s="103">
        <f>((Q17^2+R17^2)^0.5)</f>
        <v>53.43043899358683</v>
      </c>
      <c r="J17" s="95">
        <f>IF(Q18=FALSE,DEGREES(ATAN2(Q17,R17)),0)</f>
        <v>-29.461796690251134</v>
      </c>
      <c r="K17" s="103">
        <f>I17</f>
        <v>53.43043899358683</v>
      </c>
      <c r="L17" s="95">
        <f>IF(Q18=FALSE,DEGREES(ATAN2(T17,U17)),0)</f>
        <v>-149.4617966902511</v>
      </c>
      <c r="M17" s="103">
        <f>I17</f>
        <v>53.43043899358683</v>
      </c>
      <c r="N17" s="95">
        <f>IF(Q18=FALSE,DEGREES(ATAN2(W17,X17)),0)</f>
        <v>90.53820330974887</v>
      </c>
      <c r="P17" s="105" t="s">
        <v>35</v>
      </c>
      <c r="Q17" s="38">
        <f>SUM(Q14:Q16)</f>
        <v>46.52101965912922</v>
      </c>
      <c r="R17" s="38">
        <f>SUM(R14:R16)</f>
        <v>-26.279393846173782</v>
      </c>
      <c r="S17" s="105" t="s">
        <v>35</v>
      </c>
      <c r="T17" s="38">
        <f>SUM(T14:T16)</f>
        <v>-46.01913249640755</v>
      </c>
      <c r="U17" s="38">
        <f>SUM(U14:U16)</f>
        <v>-27.14868791167431</v>
      </c>
      <c r="V17" s="105" t="s">
        <v>35</v>
      </c>
      <c r="W17" s="38">
        <f>SUM(W14:W16)</f>
        <v>-0.5018871627216699</v>
      </c>
      <c r="X17" s="38">
        <f>SUM(X14:X16)</f>
        <v>53.428081757848084</v>
      </c>
    </row>
    <row r="18" spans="4:17" ht="12" customHeight="1">
      <c r="D18" s="8" t="s">
        <v>6</v>
      </c>
      <c r="N18" s="8" t="s">
        <v>6</v>
      </c>
      <c r="P18" s="109" t="s">
        <v>120</v>
      </c>
      <c r="Q18" s="74" t="b">
        <f>AND(Q17=0,R17=0)</f>
        <v>0</v>
      </c>
    </row>
    <row r="19" spans="1:18" ht="12" customHeight="1">
      <c r="A19" s="25" t="s">
        <v>29</v>
      </c>
      <c r="B19" s="28"/>
      <c r="C19" s="25" t="s">
        <v>16</v>
      </c>
      <c r="D19" s="79"/>
      <c r="E19" s="27" t="s">
        <v>5</v>
      </c>
      <c r="F19" s="35" t="s">
        <v>3</v>
      </c>
      <c r="G19" s="80" t="s">
        <v>10</v>
      </c>
      <c r="H19" s="81"/>
      <c r="I19" s="82" t="s">
        <v>12</v>
      </c>
      <c r="J19" s="83"/>
      <c r="K19" s="84" t="s">
        <v>13</v>
      </c>
      <c r="L19" s="83"/>
      <c r="M19" s="84" t="s">
        <v>25</v>
      </c>
      <c r="N19" s="83"/>
      <c r="P19" s="35" t="s">
        <v>94</v>
      </c>
      <c r="Q19" s="85" t="s">
        <v>43</v>
      </c>
      <c r="R19" s="86"/>
    </row>
    <row r="20" spans="1:18" ht="12" customHeight="1" thickBot="1">
      <c r="A20" s="87" t="s">
        <v>18</v>
      </c>
      <c r="B20" s="87" t="s">
        <v>0</v>
      </c>
      <c r="C20" s="88" t="s">
        <v>1</v>
      </c>
      <c r="D20" s="87" t="s">
        <v>4</v>
      </c>
      <c r="E20" s="89" t="s">
        <v>2</v>
      </c>
      <c r="F20" s="90" t="s">
        <v>11</v>
      </c>
      <c r="G20" s="91" t="s">
        <v>9</v>
      </c>
      <c r="H20" s="92" t="s">
        <v>7</v>
      </c>
      <c r="I20" s="93" t="s">
        <v>19</v>
      </c>
      <c r="J20" s="94" t="s">
        <v>14</v>
      </c>
      <c r="K20" s="94" t="s">
        <v>19</v>
      </c>
      <c r="L20" s="94" t="s">
        <v>14</v>
      </c>
      <c r="M20" s="93" t="s">
        <v>19</v>
      </c>
      <c r="N20" s="94" t="s">
        <v>14</v>
      </c>
      <c r="P20" s="95">
        <f>(I24*$F$3)*COS(RADIANS(-J24-30))</f>
        <v>11543.042952208107</v>
      </c>
      <c r="Q20" s="96" t="s">
        <v>26</v>
      </c>
      <c r="R20" s="96" t="s">
        <v>37</v>
      </c>
    </row>
    <row r="21" spans="1:18" ht="12" customHeight="1">
      <c r="A21" s="1">
        <v>1</v>
      </c>
      <c r="B21" s="3" t="s">
        <v>119</v>
      </c>
      <c r="C21" s="1"/>
      <c r="D21" s="1">
        <v>5</v>
      </c>
      <c r="E21" s="1"/>
      <c r="F21" s="1">
        <v>95</v>
      </c>
      <c r="G21" s="5"/>
      <c r="H21" s="1"/>
      <c r="I21" s="97">
        <f>IF(B21="motor",(C21*746/(F21/100))/G21/$F$3,IF(B21="KVA",E21*1000/$F$3,IF(B21="KW",D21*1000/(F21/100)/$F$3,0)))</f>
        <v>43.82719654779548</v>
      </c>
      <c r="J21" s="97">
        <f>IF(I21=0,0,IF(B21="KW",-30,IF(H21="L",-(30+DEGREES(ACOS(G21))),IF(H21="C",(-30+DEGREES(ACOS(G21))),"L or C ?"))))</f>
        <v>-30</v>
      </c>
      <c r="K21" s="111"/>
      <c r="L21" s="112"/>
      <c r="M21" s="112"/>
      <c r="N21" s="113"/>
      <c r="P21" s="35" t="s">
        <v>95</v>
      </c>
      <c r="Q21" s="38">
        <f>I21*COS(RADIANS(J21))</f>
        <v>37.95546558704454</v>
      </c>
      <c r="R21" s="38">
        <f>I21*SIN(RADIANS(J21))</f>
        <v>-21.913598273897737</v>
      </c>
    </row>
    <row r="22" spans="1:18" ht="12" customHeight="1">
      <c r="A22" s="2">
        <v>2</v>
      </c>
      <c r="B22" s="3" t="s">
        <v>124</v>
      </c>
      <c r="C22" s="2"/>
      <c r="D22" s="2"/>
      <c r="E22" s="2">
        <v>3</v>
      </c>
      <c r="F22" s="2"/>
      <c r="G22" s="6">
        <v>0.95</v>
      </c>
      <c r="H22" s="2" t="s">
        <v>8</v>
      </c>
      <c r="I22" s="97">
        <f>IF(B22="motor",(C22*746/(F22/100))/G22/$F$3,IF(B22="KVA",E22*1000/$F$3,IF(B22="KW",D22*1000/(F22/100)/$F$3,0)))</f>
        <v>24.981502032243423</v>
      </c>
      <c r="J22" s="97">
        <f>IF(I22=0,0,IF(B22="KW",-30,IF(H22="L",-(30+DEGREES(ACOS(G22))),IF(H22="C",(-30+DEGREES(ACOS(G22))),"L or C ?"))))</f>
        <v>-48.194872338766785</v>
      </c>
      <c r="K22" s="111"/>
      <c r="L22" s="112"/>
      <c r="M22" s="112"/>
      <c r="N22" s="113"/>
      <c r="P22" s="95">
        <f>(I24*$F$3)*SIN(RADIANS(-J24-30))</f>
        <v>2597.918850146138</v>
      </c>
      <c r="Q22" s="38">
        <f>I22*COS(RADIANS(J22))</f>
        <v>16.652648860675974</v>
      </c>
      <c r="R22" s="38">
        <f>I22*SIN(RADIANS(J22))</f>
        <v>-18.62161995396774</v>
      </c>
    </row>
    <row r="23" spans="1:18" ht="12" customHeight="1">
      <c r="A23" s="2">
        <v>3</v>
      </c>
      <c r="B23" s="3" t="s">
        <v>125</v>
      </c>
      <c r="C23" s="2">
        <v>4</v>
      </c>
      <c r="D23" s="2"/>
      <c r="E23" s="2"/>
      <c r="F23" s="2">
        <v>87</v>
      </c>
      <c r="G23" s="6">
        <v>0.9</v>
      </c>
      <c r="H23" s="2" t="s">
        <v>8</v>
      </c>
      <c r="I23" s="97">
        <f>IF(B23="motor",(C23*746/(F23/100))/G23/$F$3,IF(B23="KVA",E23*1000/$F$3,IF(B23="KW",D23*1000/(F23/100)/$F$3,0)))</f>
        <v>31.73469649391842</v>
      </c>
      <c r="J23" s="97">
        <f>IF(I23=0,0,IF(B23="KW",-30,IF(H23="L",-(30+DEGREES(ACOS(G23))),IF(H23="C",(-30+DEGREES(ACOS(G23))),"L or C ?"))))</f>
        <v>-55.84193276316712</v>
      </c>
      <c r="K23" s="111"/>
      <c r="L23" s="112"/>
      <c r="M23" s="112"/>
      <c r="N23" s="113"/>
      <c r="P23" s="32" t="s">
        <v>100</v>
      </c>
      <c r="Q23" s="38">
        <f>I23*COS(RADIANS(J23))</f>
        <v>17.818331259563838</v>
      </c>
      <c r="R23" s="38">
        <f>I23*SIN(RADIANS(J23))</f>
        <v>-26.260198641395846</v>
      </c>
    </row>
    <row r="24" spans="1:18" ht="12" customHeight="1">
      <c r="A24" s="99"/>
      <c r="B24" s="100"/>
      <c r="C24" s="99"/>
      <c r="D24" s="99"/>
      <c r="E24" s="99"/>
      <c r="F24" s="99"/>
      <c r="G24" s="101"/>
      <c r="H24" s="102" t="s">
        <v>35</v>
      </c>
      <c r="I24" s="103">
        <f>((Q24^2+R24^2)^0.5)</f>
        <v>98.52521379082924</v>
      </c>
      <c r="J24" s="95">
        <f>IF(Q25=FALSE,DEGREES(ATAN2(Q24,R24)),0)</f>
        <v>-42.68385209575923</v>
      </c>
      <c r="K24" s="114"/>
      <c r="L24" s="115"/>
      <c r="M24" s="115"/>
      <c r="N24" s="116"/>
      <c r="P24" s="105" t="s">
        <v>76</v>
      </c>
      <c r="Q24" s="38">
        <f>SUM(Q21:Q23)</f>
        <v>72.42644570728436</v>
      </c>
      <c r="R24" s="38">
        <f>SUM(R21:R23)</f>
        <v>-66.79541686926132</v>
      </c>
    </row>
    <row r="25" spans="1:17" ht="12" customHeight="1">
      <c r="A25" s="99"/>
      <c r="B25" s="100"/>
      <c r="C25" s="99"/>
      <c r="D25" s="99"/>
      <c r="E25" s="99"/>
      <c r="F25" s="99"/>
      <c r="G25" s="117"/>
      <c r="H25" s="99"/>
      <c r="I25" s="108"/>
      <c r="J25" s="108" t="s">
        <v>6</v>
      </c>
      <c r="K25" s="108"/>
      <c r="L25" s="108"/>
      <c r="M25" s="108"/>
      <c r="N25" s="108"/>
      <c r="P25" s="109" t="s">
        <v>120</v>
      </c>
      <c r="Q25" s="74" t="b">
        <f>AND(Q24=0,R24=0)</f>
        <v>0</v>
      </c>
    </row>
    <row r="26" spans="1:22" ht="12" customHeight="1">
      <c r="A26" s="25" t="s">
        <v>30</v>
      </c>
      <c r="B26" s="28"/>
      <c r="C26" s="25" t="s">
        <v>16</v>
      </c>
      <c r="D26" s="79"/>
      <c r="E26" s="27" t="s">
        <v>5</v>
      </c>
      <c r="F26" s="35" t="s">
        <v>3</v>
      </c>
      <c r="G26" s="80" t="s">
        <v>10</v>
      </c>
      <c r="H26" s="81"/>
      <c r="I26" s="82" t="s">
        <v>12</v>
      </c>
      <c r="J26" s="83"/>
      <c r="K26" s="84" t="s">
        <v>13</v>
      </c>
      <c r="L26" s="83"/>
      <c r="M26" s="84" t="s">
        <v>25</v>
      </c>
      <c r="N26" s="83"/>
      <c r="P26" s="35" t="s">
        <v>96</v>
      </c>
      <c r="Q26" s="85" t="s">
        <v>42</v>
      </c>
      <c r="R26" s="86"/>
      <c r="U26" s="9"/>
      <c r="V26" s="9"/>
    </row>
    <row r="27" spans="1:22" ht="12" customHeight="1" thickBot="1">
      <c r="A27" s="87" t="s">
        <v>18</v>
      </c>
      <c r="B27" s="87" t="s">
        <v>0</v>
      </c>
      <c r="C27" s="88" t="s">
        <v>1</v>
      </c>
      <c r="D27" s="87" t="s">
        <v>4</v>
      </c>
      <c r="E27" s="89" t="s">
        <v>2</v>
      </c>
      <c r="F27" s="90" t="s">
        <v>11</v>
      </c>
      <c r="G27" s="91" t="s">
        <v>9</v>
      </c>
      <c r="H27" s="92" t="s">
        <v>7</v>
      </c>
      <c r="I27" s="94" t="s">
        <v>19</v>
      </c>
      <c r="J27" s="94" t="s">
        <v>14</v>
      </c>
      <c r="K27" s="93" t="s">
        <v>19</v>
      </c>
      <c r="L27" s="94" t="s">
        <v>14</v>
      </c>
      <c r="M27" s="93" t="s">
        <v>19</v>
      </c>
      <c r="N27" s="94" t="s">
        <v>14</v>
      </c>
      <c r="P27" s="95">
        <f>(K31*$F$3)*COS(RADIANS(-L31-150))</f>
        <v>9848.275862068967</v>
      </c>
      <c r="Q27" s="96" t="s">
        <v>26</v>
      </c>
      <c r="R27" s="96" t="s">
        <v>37</v>
      </c>
      <c r="U27" s="9"/>
      <c r="V27" s="9"/>
    </row>
    <row r="28" spans="1:18" ht="12" customHeight="1">
      <c r="A28" s="1">
        <v>1</v>
      </c>
      <c r="B28" s="3" t="s">
        <v>119</v>
      </c>
      <c r="C28" s="1"/>
      <c r="D28" s="1">
        <v>3</v>
      </c>
      <c r="E28" s="1"/>
      <c r="F28" s="1">
        <v>90</v>
      </c>
      <c r="G28" s="5"/>
      <c r="H28" s="1"/>
      <c r="I28" s="111"/>
      <c r="J28" s="113"/>
      <c r="K28" s="118">
        <f>IF(B28="motor",(C28*746/(F28/100))/G28/$F$3,IF(B28="KVA",E28*1000/$F$3,IF(B28="KW",D28*1000/(F28/100)/$F$3,0)))</f>
        <v>27.757224480270466</v>
      </c>
      <c r="L28" s="119">
        <f>IF(K28=0,0,IF(B28="KW",-150,IF(H28="L",-(150+DEGREES(ACOS(G28))),IF(H28="C",(-150+DEGREES(ACOS(G28))),"L or C ?"))))</f>
        <v>-150</v>
      </c>
      <c r="M28" s="111"/>
      <c r="N28" s="113"/>
      <c r="P28" s="35" t="s">
        <v>97</v>
      </c>
      <c r="Q28" s="38">
        <f>K28*COS(RADIANS(L28))</f>
        <v>-24.038461538461537</v>
      </c>
      <c r="R28" s="38">
        <f>K28*SIN(RADIANS(L28))</f>
        <v>-13.878612240135231</v>
      </c>
    </row>
    <row r="29" spans="1:18" ht="12" customHeight="1">
      <c r="A29" s="2">
        <v>2</v>
      </c>
      <c r="B29" s="3" t="s">
        <v>124</v>
      </c>
      <c r="C29" s="2"/>
      <c r="D29" s="2"/>
      <c r="E29" s="2">
        <v>6</v>
      </c>
      <c r="F29" s="2"/>
      <c r="G29" s="6">
        <v>0.8</v>
      </c>
      <c r="H29" s="2" t="s">
        <v>8</v>
      </c>
      <c r="I29" s="111"/>
      <c r="J29" s="113"/>
      <c r="K29" s="118">
        <f>IF(B29="motor",(C29*746/(F29/100))/G29/$F$3,IF(B29="KVA",E29*1000/$F$3,IF(B29="KW",D29*1000/(F29/100)/$F$3,0)))</f>
        <v>49.963004064486846</v>
      </c>
      <c r="L29" s="119">
        <f>IF(K29=0,0,IF(B29="KW",-150,IF(H29="L",-(150+DEGREES(ACOS(G29))),IF(H29="C",(-150+DEGREES(ACOS(G29))),"L or C ?"))))</f>
        <v>-186.86989764584402</v>
      </c>
      <c r="M29" s="111"/>
      <c r="N29" s="113"/>
      <c r="P29" s="95">
        <f>(K31*$F$3)*SIN(RADIANS(-L31-150))</f>
        <v>4430.58457519319</v>
      </c>
      <c r="Q29" s="38">
        <f>K29*COS(RADIANS(L29))</f>
        <v>-49.604285834730675</v>
      </c>
      <c r="R29" s="38">
        <f>K29*SIN(RADIANS(L29))</f>
        <v>5.97633683574372</v>
      </c>
    </row>
    <row r="30" spans="1:18" ht="12" customHeight="1">
      <c r="A30" s="2">
        <v>3</v>
      </c>
      <c r="B30" s="3" t="s">
        <v>125</v>
      </c>
      <c r="C30" s="2">
        <v>2</v>
      </c>
      <c r="D30" s="2"/>
      <c r="E30" s="2"/>
      <c r="F30" s="2">
        <v>87</v>
      </c>
      <c r="G30" s="6">
        <v>0.9</v>
      </c>
      <c r="H30" s="2" t="s">
        <v>8</v>
      </c>
      <c r="I30" s="111"/>
      <c r="J30" s="113"/>
      <c r="K30" s="118">
        <f>IF(B30="motor",(C30*746/(F30/100))/G30/$F$3,IF(B30="KVA",E30*1000/$F$3,IF(B30="KW",D30*1000/(F30/100)/$F$3,0)))</f>
        <v>15.86734824695921</v>
      </c>
      <c r="L30" s="119">
        <f>IF(K30=0,0,IF(B30="KW",-150,IF(H30="L",-(150+DEGREES(ACOS(G30))),IF(H30="C",(-150+DEGREES(ACOS(G30))),"L or C ?"))))</f>
        <v>-175.84193276316714</v>
      </c>
      <c r="M30" s="111"/>
      <c r="N30" s="113"/>
      <c r="P30" s="32" t="s">
        <v>100</v>
      </c>
      <c r="Q30" s="38">
        <f>K30*COS(RADIANS(L30))</f>
        <v>-15.825582380828163</v>
      </c>
      <c r="R30" s="38">
        <f>K30*SIN(RADIANS(L30))</f>
        <v>-1.1505141015653646</v>
      </c>
    </row>
    <row r="31" spans="7:18" ht="12" customHeight="1">
      <c r="G31" s="101"/>
      <c r="H31" s="120" t="s">
        <v>35</v>
      </c>
      <c r="I31" s="114"/>
      <c r="J31" s="116"/>
      <c r="K31" s="103">
        <f>((Q31^2+R31^2)^0.5)</f>
        <v>89.9251634794916</v>
      </c>
      <c r="L31" s="95">
        <f>IF(Q32=FALSE,DEGREES(ATAN2(Q31,R31)),0)</f>
        <v>-174.22223172898495</v>
      </c>
      <c r="M31" s="121"/>
      <c r="N31" s="122"/>
      <c r="P31" s="105" t="s">
        <v>75</v>
      </c>
      <c r="Q31" s="38">
        <f>SUM(Q28:Q30)</f>
        <v>-89.46832975402037</v>
      </c>
      <c r="R31" s="38">
        <f>SUM(R28:R30)</f>
        <v>-9.052789505956875</v>
      </c>
    </row>
    <row r="32" spans="4:17" ht="12" customHeight="1">
      <c r="D32" s="8" t="s">
        <v>6</v>
      </c>
      <c r="L32" s="8" t="s">
        <v>6</v>
      </c>
      <c r="P32" s="109" t="s">
        <v>120</v>
      </c>
      <c r="Q32" s="74" t="b">
        <f>AND(Q31=0,R31=0)</f>
        <v>0</v>
      </c>
    </row>
    <row r="33" spans="1:18" ht="12" customHeight="1">
      <c r="A33" s="25" t="s">
        <v>31</v>
      </c>
      <c r="B33" s="28"/>
      <c r="C33" s="25" t="s">
        <v>16</v>
      </c>
      <c r="D33" s="79"/>
      <c r="E33" s="27" t="s">
        <v>5</v>
      </c>
      <c r="F33" s="35" t="s">
        <v>3</v>
      </c>
      <c r="G33" s="80" t="s">
        <v>10</v>
      </c>
      <c r="H33" s="81"/>
      <c r="I33" s="82" t="s">
        <v>12</v>
      </c>
      <c r="J33" s="83"/>
      <c r="K33" s="84" t="s">
        <v>13</v>
      </c>
      <c r="L33" s="83"/>
      <c r="M33" s="84" t="s">
        <v>25</v>
      </c>
      <c r="N33" s="83"/>
      <c r="P33" s="35" t="s">
        <v>98</v>
      </c>
      <c r="Q33" s="85" t="s">
        <v>41</v>
      </c>
      <c r="R33" s="86"/>
    </row>
    <row r="34" spans="1:18" ht="12" customHeight="1" thickBot="1">
      <c r="A34" s="87" t="s">
        <v>18</v>
      </c>
      <c r="B34" s="87" t="s">
        <v>0</v>
      </c>
      <c r="C34" s="88" t="s">
        <v>1</v>
      </c>
      <c r="D34" s="87" t="s">
        <v>4</v>
      </c>
      <c r="E34" s="89" t="s">
        <v>2</v>
      </c>
      <c r="F34" s="90" t="s">
        <v>11</v>
      </c>
      <c r="G34" s="91" t="s">
        <v>9</v>
      </c>
      <c r="H34" s="92" t="s">
        <v>7</v>
      </c>
      <c r="I34" s="94" t="s">
        <v>19</v>
      </c>
      <c r="J34" s="94" t="s">
        <v>14</v>
      </c>
      <c r="K34" s="93" t="s">
        <v>19</v>
      </c>
      <c r="L34" s="94" t="s">
        <v>14</v>
      </c>
      <c r="M34" s="93" t="s">
        <v>19</v>
      </c>
      <c r="N34" s="94" t="s">
        <v>14</v>
      </c>
      <c r="P34" s="95">
        <f>(M38*$F$3)*COS(RADIANS(-N38+90))</f>
        <v>18059.31888544892</v>
      </c>
      <c r="Q34" s="96" t="s">
        <v>26</v>
      </c>
      <c r="R34" s="96" t="s">
        <v>37</v>
      </c>
    </row>
    <row r="35" spans="1:18" ht="12" customHeight="1">
      <c r="A35" s="1">
        <v>1</v>
      </c>
      <c r="B35" s="3" t="s">
        <v>119</v>
      </c>
      <c r="C35" s="1"/>
      <c r="D35" s="1">
        <v>6</v>
      </c>
      <c r="E35" s="1"/>
      <c r="F35" s="1">
        <v>95</v>
      </c>
      <c r="G35" s="5"/>
      <c r="H35" s="1"/>
      <c r="I35" s="111"/>
      <c r="J35" s="112"/>
      <c r="K35" s="112"/>
      <c r="L35" s="113"/>
      <c r="M35" s="118">
        <f>IF(B35="motor",(C35*746/(F35/100))/G35/$F$3,IF(B35="KVA",E35*1000/$F$3,IF(B35="KW",D35*1000/(F35/100)/$F$3,0)))</f>
        <v>52.59263585735458</v>
      </c>
      <c r="N35" s="97">
        <f>IF(M35=0,0,IF(B35="KW",90,IF(H35="L",(90-DEGREES(ACOS(G35))),IF(H35="C",(90+DEGREES(ACOS(G35))),"L or C ?"))))</f>
        <v>90</v>
      </c>
      <c r="P35" s="35" t="s">
        <v>99</v>
      </c>
      <c r="Q35" s="38">
        <f>M35*COS(RADIANS(N35))</f>
        <v>3.2216893280104824E-15</v>
      </c>
      <c r="R35" s="38">
        <f>M35*SIN(RADIANS(N35))</f>
        <v>52.59263585735458</v>
      </c>
    </row>
    <row r="36" spans="1:18" ht="12" customHeight="1">
      <c r="A36" s="2">
        <v>2</v>
      </c>
      <c r="B36" s="3" t="s">
        <v>124</v>
      </c>
      <c r="C36" s="2"/>
      <c r="D36" s="2"/>
      <c r="E36" s="2">
        <v>7</v>
      </c>
      <c r="F36" s="2"/>
      <c r="G36" s="6">
        <v>0.8</v>
      </c>
      <c r="H36" s="2" t="s">
        <v>8</v>
      </c>
      <c r="I36" s="111"/>
      <c r="J36" s="112"/>
      <c r="K36" s="112"/>
      <c r="L36" s="113"/>
      <c r="M36" s="118">
        <f>IF(B36="motor",(C36*746/(F36/100))/G36/$F$3,IF(B36="KVA",E36*1000/$F$3,IF(B36="KW",D36*1000/(F36/100)/$F$3,0)))</f>
        <v>58.290171408567986</v>
      </c>
      <c r="N36" s="37">
        <f>IF(M36=0,0,IF(B36="KW",90,IF(H36="L",(90-DEGREES(ACOS(G36))),IF(H36="C",(90+DEGREES(ACOS(G36))),"L or C ?"))))</f>
        <v>53.13010235415599</v>
      </c>
      <c r="P36" s="95">
        <f>(M38*$F$3)*SIN(RADIANS(-N38+90))</f>
        <v>8007.417570754118</v>
      </c>
      <c r="Q36" s="38">
        <f>M36*COS(RADIANS(N36))</f>
        <v>34.974102845140784</v>
      </c>
      <c r="R36" s="38">
        <f>M36*SIN(RADIANS(N36))</f>
        <v>46.632137126854396</v>
      </c>
    </row>
    <row r="37" spans="1:18" ht="12" customHeight="1">
      <c r="A37" s="2">
        <v>3</v>
      </c>
      <c r="B37" s="3" t="s">
        <v>125</v>
      </c>
      <c r="C37" s="2">
        <v>7</v>
      </c>
      <c r="D37" s="2"/>
      <c r="E37" s="2"/>
      <c r="F37" s="2">
        <v>85</v>
      </c>
      <c r="G37" s="6">
        <v>0.85</v>
      </c>
      <c r="H37" s="2" t="s">
        <v>8</v>
      </c>
      <c r="I37" s="111"/>
      <c r="J37" s="112"/>
      <c r="K37" s="112"/>
      <c r="L37" s="113"/>
      <c r="M37" s="118">
        <f>IF(B37="motor",(C37*746/(F37/100))/G37/$F$3,IF(B37="KVA",E37*1000/$F$3,IF(B37="KW",D37*1000/(F37/100)/$F$3,0)))</f>
        <v>60.18611470005775</v>
      </c>
      <c r="N37" s="37">
        <f>IF(M37=0,0,IF(B37="KW",90,IF(H37="L",(90-DEGREES(ACOS(G37))),IF(H37="C",(90+DEGREES(ACOS(G37))),"L or C ?"))))</f>
        <v>58.21166938294838</v>
      </c>
      <c r="P37" s="32" t="s">
        <v>100</v>
      </c>
      <c r="Q37" s="38">
        <f>M37*COS(RADIANS(N37))</f>
        <v>31.705003260464448</v>
      </c>
      <c r="R37" s="38">
        <f>M37*SIN(RADIANS(N37))</f>
        <v>51.15819749504909</v>
      </c>
    </row>
    <row r="38" spans="7:18" ht="12" customHeight="1">
      <c r="G38" s="101"/>
      <c r="H38" s="120" t="s">
        <v>35</v>
      </c>
      <c r="I38" s="114"/>
      <c r="J38" s="115"/>
      <c r="K38" s="123"/>
      <c r="L38" s="122"/>
      <c r="M38" s="103">
        <f>((Q38^2+R38^2)^0.5)</f>
        <v>164.5027081880659</v>
      </c>
      <c r="N38" s="95">
        <f>IF(Q39=FALSE,DEGREES(ATAN2(Q38,R38)),0)</f>
        <v>66.08772559864788</v>
      </c>
      <c r="P38" s="105" t="s">
        <v>74</v>
      </c>
      <c r="Q38" s="38">
        <f>SUM(Q35:Q37)</f>
        <v>66.67910610560523</v>
      </c>
      <c r="R38" s="38">
        <f>SUM(R35:R37)</f>
        <v>150.38297047925806</v>
      </c>
    </row>
    <row r="39" spans="16:17" ht="12" customHeight="1">
      <c r="P39" s="109" t="s">
        <v>120</v>
      </c>
      <c r="Q39" s="74" t="b">
        <f>AND(Q38=0,R38=0)</f>
        <v>0</v>
      </c>
    </row>
    <row r="40" spans="1:18" ht="12" customHeight="1">
      <c r="A40" s="25" t="s">
        <v>32</v>
      </c>
      <c r="B40" s="28"/>
      <c r="C40" s="25" t="s">
        <v>16</v>
      </c>
      <c r="D40" s="79"/>
      <c r="E40" s="27" t="s">
        <v>5</v>
      </c>
      <c r="F40" s="35" t="s">
        <v>3</v>
      </c>
      <c r="G40" s="80" t="s">
        <v>10</v>
      </c>
      <c r="H40" s="81"/>
      <c r="I40" s="82" t="s">
        <v>12</v>
      </c>
      <c r="J40" s="83"/>
      <c r="K40" s="84" t="s">
        <v>13</v>
      </c>
      <c r="L40" s="83"/>
      <c r="M40" s="84" t="s">
        <v>25</v>
      </c>
      <c r="N40" s="83"/>
      <c r="P40" s="35" t="s">
        <v>101</v>
      </c>
      <c r="Q40" s="85" t="s">
        <v>44</v>
      </c>
      <c r="R40" s="86"/>
    </row>
    <row r="41" spans="1:18" ht="12" customHeight="1" thickBot="1">
      <c r="A41" s="87" t="s">
        <v>18</v>
      </c>
      <c r="B41" s="87" t="s">
        <v>0</v>
      </c>
      <c r="C41" s="88" t="s">
        <v>1</v>
      </c>
      <c r="D41" s="87" t="s">
        <v>4</v>
      </c>
      <c r="E41" s="89" t="s">
        <v>2</v>
      </c>
      <c r="F41" s="90" t="s">
        <v>11</v>
      </c>
      <c r="G41" s="91" t="s">
        <v>9</v>
      </c>
      <c r="H41" s="92" t="s">
        <v>7</v>
      </c>
      <c r="I41" s="93" t="s">
        <v>19</v>
      </c>
      <c r="J41" s="94" t="s">
        <v>14</v>
      </c>
      <c r="K41" s="93" t="s">
        <v>19</v>
      </c>
      <c r="L41" s="94" t="s">
        <v>14</v>
      </c>
      <c r="M41" s="94" t="s">
        <v>19</v>
      </c>
      <c r="N41" s="94" t="s">
        <v>14</v>
      </c>
      <c r="P41" s="95">
        <f>(I45*$C$3)*COS(RADIANS(-J45))</f>
        <v>14479.885057471263</v>
      </c>
      <c r="Q41" s="96" t="s">
        <v>26</v>
      </c>
      <c r="R41" s="96" t="s">
        <v>37</v>
      </c>
    </row>
    <row r="42" spans="1:18" ht="12" customHeight="1">
      <c r="A42" s="1">
        <v>1</v>
      </c>
      <c r="B42" s="3" t="s">
        <v>119</v>
      </c>
      <c r="C42" s="1"/>
      <c r="D42" s="1">
        <v>5</v>
      </c>
      <c r="E42" s="1"/>
      <c r="F42" s="1">
        <v>80</v>
      </c>
      <c r="G42" s="5"/>
      <c r="H42" s="1"/>
      <c r="I42" s="97">
        <f>IF(B42="motor",(C42*746/(F42/100))/G42/$C$3,IF(B42="KVA",E42*1000/$C$3,IF(B42="KW",D42*1000/(F42/100)/$C$3,0)))</f>
        <v>30.048076923076923</v>
      </c>
      <c r="J42" s="97">
        <f>IF(I42=0,0,IF(B42="KW",0,IF(H42="L",-(DEGREES(ACOS(G42))),IF(H42="C",(DEGREES(ACOS(G42))),"L or C ?"))))</f>
        <v>0</v>
      </c>
      <c r="K42" s="97">
        <f>I42</f>
        <v>30.048076923076923</v>
      </c>
      <c r="L42" s="119">
        <f>IF(I42=0,0,J42+180)</f>
        <v>180</v>
      </c>
      <c r="M42" s="111"/>
      <c r="N42" s="113"/>
      <c r="P42" s="35" t="s">
        <v>102</v>
      </c>
      <c r="Q42" s="38">
        <f>I42*COS(RADIANS(J42))</f>
        <v>30.048076923076923</v>
      </c>
      <c r="R42" s="38">
        <f>I42*SIN(RADIANS(J42))</f>
        <v>0</v>
      </c>
    </row>
    <row r="43" spans="1:18" ht="12" customHeight="1">
      <c r="A43" s="2">
        <v>2</v>
      </c>
      <c r="B43" s="3" t="s">
        <v>124</v>
      </c>
      <c r="C43" s="2"/>
      <c r="D43" s="2"/>
      <c r="E43" s="2">
        <v>6</v>
      </c>
      <c r="F43" s="2"/>
      <c r="G43" s="6">
        <v>0.8</v>
      </c>
      <c r="H43" s="2" t="s">
        <v>8</v>
      </c>
      <c r="I43" s="97">
        <f>IF(B43="motor",(C43*746/(F43/100))/G43/$C$3,IF(B43="KVA",E43*1000/$C$3,IF(B43="KW",D43*1000/(F43/100)/$C$3,0)))</f>
        <v>28.846153846153847</v>
      </c>
      <c r="J43" s="97">
        <f>IF(I43=0,0,IF(B43="KW",0,IF(H43="L",-(DEGREES(ACOS(G43))),IF(H43="C",(DEGREES(ACOS(G43))),"L or C ?"))))</f>
        <v>-36.86989764584401</v>
      </c>
      <c r="K43" s="97">
        <f>I43</f>
        <v>28.846153846153847</v>
      </c>
      <c r="L43" s="119">
        <f>IF(I43=0,0,J43+180)</f>
        <v>143.13010235415598</v>
      </c>
      <c r="M43" s="111"/>
      <c r="N43" s="113"/>
      <c r="P43" s="95">
        <f>(I45*$C$3)*SIN(RADIANS(-J45))</f>
        <v>5261.16915038638</v>
      </c>
      <c r="Q43" s="38">
        <f>I43*COS(RADIANS(J43))</f>
        <v>23.07692307692308</v>
      </c>
      <c r="R43" s="38">
        <f>I43*SIN(RADIANS(J43))</f>
        <v>-17.307692307692303</v>
      </c>
    </row>
    <row r="44" spans="1:18" ht="12" customHeight="1">
      <c r="A44" s="2">
        <v>3</v>
      </c>
      <c r="B44" s="3" t="s">
        <v>125</v>
      </c>
      <c r="C44" s="2">
        <v>4</v>
      </c>
      <c r="D44" s="2"/>
      <c r="E44" s="2"/>
      <c r="F44" s="2">
        <v>87</v>
      </c>
      <c r="G44" s="6">
        <v>0.9</v>
      </c>
      <c r="H44" s="2" t="s">
        <v>8</v>
      </c>
      <c r="I44" s="97">
        <f>IF(B44="motor",(C44*746/(F44/100))/G44/$C$3,IF(B44="KVA",E44*1000/$C$3,IF(B44="KW",D44*1000/(F44/100)/$C$3,0)))</f>
        <v>18.32203556341487</v>
      </c>
      <c r="J44" s="97">
        <f>IF(I44=0,0,IF(B44="KW",0,IF(H44="L",-(DEGREES(ACOS(G44))),IF(H44="C",(DEGREES(ACOS(G44))),"L or C ?"))))</f>
        <v>-25.841932763167126</v>
      </c>
      <c r="K44" s="37">
        <f>I44</f>
        <v>18.32203556341487</v>
      </c>
      <c r="L44" s="119">
        <f>IF(I44=0,0,J44+180)</f>
        <v>154.15806723683286</v>
      </c>
      <c r="M44" s="111"/>
      <c r="N44" s="113"/>
      <c r="P44" s="32" t="s">
        <v>100</v>
      </c>
      <c r="Q44" s="38">
        <f>I44*COS(RADIANS(J44))</f>
        <v>16.489832007073385</v>
      </c>
      <c r="R44" s="38">
        <f>I44*SIN(RADIANS(J44))</f>
        <v>-7.986390146088372</v>
      </c>
    </row>
    <row r="45" spans="7:18" ht="12" customHeight="1">
      <c r="G45" s="101"/>
      <c r="H45" s="102" t="s">
        <v>35</v>
      </c>
      <c r="I45" s="103">
        <f>((Q45^2+R45^2)^0.5)</f>
        <v>74.06764099491562</v>
      </c>
      <c r="J45" s="95">
        <f>IF(Q46=FALSE,DEGREES(ATAN2(Q45,R45)),0)</f>
        <v>-19.968274600850638</v>
      </c>
      <c r="K45" s="37">
        <f>I45</f>
        <v>74.06764099491562</v>
      </c>
      <c r="L45" s="124">
        <f>J45+180</f>
        <v>160.03172539914937</v>
      </c>
      <c r="M45" s="121"/>
      <c r="N45" s="122"/>
      <c r="P45" s="105" t="s">
        <v>71</v>
      </c>
      <c r="Q45" s="38">
        <f>SUM(Q42:Q44)</f>
        <v>69.61483200707339</v>
      </c>
      <c r="R45" s="38">
        <f>SUM(R42:R44)</f>
        <v>-25.294082453780675</v>
      </c>
    </row>
    <row r="46" spans="16:17" ht="12" customHeight="1">
      <c r="P46" s="109" t="s">
        <v>120</v>
      </c>
      <c r="Q46" s="74" t="b">
        <f>AND(Q45=0,R45=0)</f>
        <v>0</v>
      </c>
    </row>
    <row r="47" spans="1:18" ht="12" customHeight="1">
      <c r="A47" s="25" t="s">
        <v>33</v>
      </c>
      <c r="B47" s="28"/>
      <c r="C47" s="25" t="s">
        <v>16</v>
      </c>
      <c r="D47" s="79"/>
      <c r="E47" s="27" t="s">
        <v>5</v>
      </c>
      <c r="F47" s="35" t="s">
        <v>3</v>
      </c>
      <c r="G47" s="80" t="s">
        <v>10</v>
      </c>
      <c r="H47" s="81"/>
      <c r="I47" s="82" t="s">
        <v>12</v>
      </c>
      <c r="J47" s="83"/>
      <c r="K47" s="84" t="s">
        <v>13</v>
      </c>
      <c r="L47" s="83"/>
      <c r="M47" s="84" t="s">
        <v>25</v>
      </c>
      <c r="N47" s="83"/>
      <c r="P47" s="35" t="s">
        <v>103</v>
      </c>
      <c r="Q47" s="85" t="s">
        <v>45</v>
      </c>
      <c r="R47" s="86"/>
    </row>
    <row r="48" spans="1:18" ht="12" customHeight="1" thickBot="1">
      <c r="A48" s="87" t="s">
        <v>18</v>
      </c>
      <c r="B48" s="87" t="s">
        <v>0</v>
      </c>
      <c r="C48" s="88" t="s">
        <v>1</v>
      </c>
      <c r="D48" s="87" t="s">
        <v>4</v>
      </c>
      <c r="E48" s="89" t="s">
        <v>2</v>
      </c>
      <c r="F48" s="90" t="s">
        <v>11</v>
      </c>
      <c r="G48" s="91" t="s">
        <v>9</v>
      </c>
      <c r="H48" s="92" t="s">
        <v>7</v>
      </c>
      <c r="I48" s="94" t="s">
        <v>19</v>
      </c>
      <c r="J48" s="94" t="s">
        <v>14</v>
      </c>
      <c r="K48" s="93" t="s">
        <v>19</v>
      </c>
      <c r="L48" s="94" t="s">
        <v>14</v>
      </c>
      <c r="M48" s="93" t="s">
        <v>19</v>
      </c>
      <c r="N48" s="94" t="s">
        <v>14</v>
      </c>
      <c r="P48" s="95">
        <f>(K52*$C$3)*COS(RADIANS(-L52-120))</f>
        <v>15994.444444444443</v>
      </c>
      <c r="Q48" s="96" t="s">
        <v>26</v>
      </c>
      <c r="R48" s="96" t="s">
        <v>37</v>
      </c>
    </row>
    <row r="49" spans="1:18" ht="12" customHeight="1">
      <c r="A49" s="1">
        <v>1</v>
      </c>
      <c r="B49" s="3" t="s">
        <v>119</v>
      </c>
      <c r="C49" s="1"/>
      <c r="D49" s="1">
        <v>5</v>
      </c>
      <c r="E49" s="1"/>
      <c r="F49" s="1">
        <v>80</v>
      </c>
      <c r="G49" s="5"/>
      <c r="H49" s="1"/>
      <c r="I49" s="111"/>
      <c r="J49" s="113"/>
      <c r="K49" s="118">
        <f>IF(B49="motor",(C49*746/(F49/100))/G49/$C$3,IF(B49="KVA",E49*1000/$C$3,IF(B49="KW",D49*1000/(F49/100)/$C$3,0)))</f>
        <v>30.048076923076923</v>
      </c>
      <c r="L49" s="97">
        <f>IF(K49=0,0,IF(B49="KW",-120,IF(H49="L",-(120+DEGREES(ACOS(G49))),IF(H49="C",(-120+DEGREES(ACOS(G49))),"L or C ?"))))</f>
        <v>-120</v>
      </c>
      <c r="M49" s="97">
        <f>K49</f>
        <v>30.048076923076923</v>
      </c>
      <c r="N49" s="97">
        <f>IF(K49=0,0,L49+180)</f>
        <v>60</v>
      </c>
      <c r="P49" s="35" t="s">
        <v>104</v>
      </c>
      <c r="Q49" s="38">
        <f>K49*COS(RADIANS(L49))</f>
        <v>-15.024038461538455</v>
      </c>
      <c r="R49" s="38">
        <f>K49*SIN(RADIANS(L49))</f>
        <v>-26.022397950253566</v>
      </c>
    </row>
    <row r="50" spans="1:18" ht="12" customHeight="1">
      <c r="A50" s="2">
        <v>2</v>
      </c>
      <c r="B50" s="3" t="s">
        <v>124</v>
      </c>
      <c r="C50" s="2"/>
      <c r="D50" s="2"/>
      <c r="E50" s="2">
        <v>7</v>
      </c>
      <c r="F50" s="2"/>
      <c r="G50" s="6">
        <v>0.8</v>
      </c>
      <c r="H50" s="2" t="s">
        <v>8</v>
      </c>
      <c r="I50" s="111"/>
      <c r="J50" s="113"/>
      <c r="K50" s="118">
        <f>IF(B50="motor",(C50*746/(F50/100))/G50/$C$3,IF(B50="KVA",E50*1000/$C$3,IF(B50="KW",D50*1000/(F50/100)/$C$3,0)))</f>
        <v>33.65384615384615</v>
      </c>
      <c r="L50" s="97">
        <f>IF(K50=0,0,IF(B50="KW",-120,IF(H50="L",-(120+DEGREES(ACOS(G50))),IF(H50="C",(-120+DEGREES(ACOS(G50))),"L or C ?"))))</f>
        <v>-156.86989764584402</v>
      </c>
      <c r="M50" s="97">
        <f>K50</f>
        <v>33.65384615384615</v>
      </c>
      <c r="N50" s="97">
        <f>IF(K50=0,0,L50+180)</f>
        <v>23.13010235415598</v>
      </c>
      <c r="P50" s="95">
        <f>(K52*$C$3)*SIN(RADIANS(-L52-120))</f>
        <v>6207.24605671688</v>
      </c>
      <c r="Q50" s="38">
        <f>K50*COS(RADIANS(L50))</f>
        <v>-30.94858988410886</v>
      </c>
      <c r="R50" s="38">
        <f>K50*SIN(RADIANS(L50))</f>
        <v>-13.219914717273344</v>
      </c>
    </row>
    <row r="51" spans="1:18" ht="12" customHeight="1">
      <c r="A51" s="2">
        <v>3</v>
      </c>
      <c r="B51" s="3" t="s">
        <v>125</v>
      </c>
      <c r="C51" s="2">
        <v>5</v>
      </c>
      <c r="D51" s="2"/>
      <c r="E51" s="2"/>
      <c r="F51" s="2">
        <v>90</v>
      </c>
      <c r="G51" s="6">
        <v>0.9</v>
      </c>
      <c r="H51" s="2" t="s">
        <v>8</v>
      </c>
      <c r="I51" s="111"/>
      <c r="J51" s="113"/>
      <c r="K51" s="118">
        <f>IF(B51="motor",(C51*746/(F51/100))/G51/$C$3,IF(B51="KVA",E51*1000/$C$3,IF(B51="KW",D51*1000/(F51/100)/$C$3,0)))</f>
        <v>22.13912630579297</v>
      </c>
      <c r="L51" s="97">
        <f>IF(K51=0,0,IF(B51="KW",-120,IF(H51="L",-(120+DEGREES(ACOS(G51))),IF(H51="C",(-120+DEGREES(ACOS(G51))),"L or C ?"))))</f>
        <v>-145.84193276316714</v>
      </c>
      <c r="M51" s="97">
        <f>K51</f>
        <v>22.13912630579297</v>
      </c>
      <c r="N51" s="97">
        <f>IF(K51=0,0,L51+180)</f>
        <v>34.15806723683286</v>
      </c>
      <c r="P51" s="32" t="s">
        <v>100</v>
      </c>
      <c r="Q51" s="38">
        <f>K51*COS(RADIANS(L51))</f>
        <v>-18.31994374512105</v>
      </c>
      <c r="R51" s="38">
        <f>K51*SIN(RADIANS(L51))</f>
        <v>-12.430630505306413</v>
      </c>
    </row>
    <row r="52" spans="7:18" ht="12" customHeight="1">
      <c r="G52" s="101"/>
      <c r="H52" s="120" t="s">
        <v>35</v>
      </c>
      <c r="I52" s="121"/>
      <c r="J52" s="122"/>
      <c r="K52" s="103">
        <f>((Q52^2+R52^2)^0.5)</f>
        <v>82.48410684604345</v>
      </c>
      <c r="L52" s="95">
        <f>IF(Q53=FALSE,DEGREES(ATAN2(Q52,R52)),0)</f>
        <v>-141.21061693243155</v>
      </c>
      <c r="M52" s="37">
        <f>K52</f>
        <v>82.48410684604345</v>
      </c>
      <c r="N52" s="37">
        <f>L52+180</f>
        <v>38.78938306756845</v>
      </c>
      <c r="P52" s="105" t="s">
        <v>72</v>
      </c>
      <c r="Q52" s="38">
        <f>SUM(Q49:Q51)</f>
        <v>-64.29257209076837</v>
      </c>
      <c r="R52" s="38">
        <f>SUM(R49:R51)</f>
        <v>-51.67294317283332</v>
      </c>
    </row>
    <row r="53" spans="13:17" ht="12" customHeight="1">
      <c r="M53" s="8" t="s">
        <v>6</v>
      </c>
      <c r="P53" s="109" t="s">
        <v>120</v>
      </c>
      <c r="Q53" s="74" t="b">
        <f>AND(Q52=0,R52=0)</f>
        <v>0</v>
      </c>
    </row>
    <row r="54" spans="1:18" ht="12" customHeight="1">
      <c r="A54" s="25" t="s">
        <v>34</v>
      </c>
      <c r="B54" s="28"/>
      <c r="C54" s="25" t="s">
        <v>16</v>
      </c>
      <c r="D54" s="79"/>
      <c r="E54" s="27" t="s">
        <v>5</v>
      </c>
      <c r="F54" s="35" t="s">
        <v>3</v>
      </c>
      <c r="G54" s="80" t="s">
        <v>10</v>
      </c>
      <c r="H54" s="81"/>
      <c r="I54" s="82" t="s">
        <v>12</v>
      </c>
      <c r="J54" s="83"/>
      <c r="K54" s="84" t="s">
        <v>13</v>
      </c>
      <c r="L54" s="83"/>
      <c r="M54" s="84" t="s">
        <v>25</v>
      </c>
      <c r="N54" s="83"/>
      <c r="P54" s="35" t="s">
        <v>105</v>
      </c>
      <c r="Q54" s="85" t="s">
        <v>46</v>
      </c>
      <c r="R54" s="86"/>
    </row>
    <row r="55" spans="1:18" ht="12" customHeight="1" thickBot="1">
      <c r="A55" s="87" t="s">
        <v>18</v>
      </c>
      <c r="B55" s="87" t="s">
        <v>0</v>
      </c>
      <c r="C55" s="88" t="s">
        <v>1</v>
      </c>
      <c r="D55" s="87" t="s">
        <v>4</v>
      </c>
      <c r="E55" s="89" t="s">
        <v>2</v>
      </c>
      <c r="F55" s="90" t="s">
        <v>11</v>
      </c>
      <c r="G55" s="91" t="s">
        <v>9</v>
      </c>
      <c r="H55" s="92" t="s">
        <v>7</v>
      </c>
      <c r="I55" s="93" t="s">
        <v>19</v>
      </c>
      <c r="J55" s="94" t="s">
        <v>14</v>
      </c>
      <c r="K55" s="94" t="s">
        <v>19</v>
      </c>
      <c r="L55" s="94" t="s">
        <v>14</v>
      </c>
      <c r="M55" s="93" t="s">
        <v>19</v>
      </c>
      <c r="N55" s="94" t="s">
        <v>14</v>
      </c>
      <c r="P55" s="95">
        <f>(M59*$C$3)*COS(RADIANS(-N59+120))</f>
        <v>13038.235294117645</v>
      </c>
      <c r="Q55" s="96" t="s">
        <v>26</v>
      </c>
      <c r="R55" s="96" t="s">
        <v>37</v>
      </c>
    </row>
    <row r="56" spans="1:18" ht="12" customHeight="1">
      <c r="A56" s="1">
        <v>1</v>
      </c>
      <c r="B56" s="3" t="s">
        <v>119</v>
      </c>
      <c r="C56" s="1"/>
      <c r="D56" s="1">
        <v>5</v>
      </c>
      <c r="E56" s="1"/>
      <c r="F56" s="1">
        <v>80</v>
      </c>
      <c r="G56" s="5"/>
      <c r="H56" s="1"/>
      <c r="I56" s="97">
        <f>M56</f>
        <v>30.048076923076923</v>
      </c>
      <c r="J56" s="119">
        <f>IF(M56=0,0,N56+180)</f>
        <v>300</v>
      </c>
      <c r="K56" s="111"/>
      <c r="L56" s="113"/>
      <c r="M56" s="118">
        <f>IF(B56="motor",(C56*746/(F56/100))/G56/$C$3,IF(B56="KVA",E56*1000/$C$3,IF(B56="KW",D56*1000/(F56/100)/$C$3,0)))</f>
        <v>30.048076923076923</v>
      </c>
      <c r="N56" s="97">
        <f>IF(M56=0,0,IF(B56="KW",120,IF(H56="L",(120-DEGREES(ACOS(G56))),IF(H56="C",(120+DEGREES(ACOS(G56))),"L or C ?"))))</f>
        <v>120</v>
      </c>
      <c r="P56" s="35" t="s">
        <v>106</v>
      </c>
      <c r="Q56" s="38">
        <f>M56*COS(RADIANS(N56))</f>
        <v>-15.024038461538455</v>
      </c>
      <c r="R56" s="38">
        <f>M56*SIN(RADIANS(N56))</f>
        <v>26.022397950253566</v>
      </c>
    </row>
    <row r="57" spans="1:18" ht="12" customHeight="1">
      <c r="A57" s="2">
        <v>2</v>
      </c>
      <c r="B57" s="3" t="s">
        <v>124</v>
      </c>
      <c r="C57" s="2"/>
      <c r="D57" s="2"/>
      <c r="E57" s="2">
        <v>3</v>
      </c>
      <c r="F57" s="2"/>
      <c r="G57" s="6">
        <v>0.8</v>
      </c>
      <c r="H57" s="2" t="s">
        <v>8</v>
      </c>
      <c r="I57" s="97">
        <f>M57</f>
        <v>14.423076923076923</v>
      </c>
      <c r="J57" s="119">
        <f>IF(M57=0,0,N57+180)</f>
        <v>263.13010235415595</v>
      </c>
      <c r="K57" s="111"/>
      <c r="L57" s="113"/>
      <c r="M57" s="118">
        <f>IF(B57="motor",(C57*746/(F57/100))/G57/$C$3,IF(B57="KVA",E57*1000/$C$3,IF(B57="KW",D57*1000/(F57/100)/$C$3,0)))</f>
        <v>14.423076923076923</v>
      </c>
      <c r="N57" s="97">
        <f>IF(M57=0,0,IF(B57="KW",120,IF(H57="L",(120-DEGREES(ACOS(G57))),IF(H57="C",(120+DEGREES(ACOS(G57))),"L or C ?"))))</f>
        <v>83.13010235415598</v>
      </c>
      <c r="P57" s="95">
        <f>(M59*$C$3)*SIN(RADIANS(-N59+120))</f>
        <v>4286.92754687581</v>
      </c>
      <c r="Q57" s="38">
        <f>M57*COS(RADIANS(N57))</f>
        <v>1.7252198404422592</v>
      </c>
      <c r="R57" s="38">
        <f>M57*SIN(RADIANS(N57))</f>
        <v>14.319523889820445</v>
      </c>
    </row>
    <row r="58" spans="1:18" ht="12" customHeight="1">
      <c r="A58" s="2">
        <v>3</v>
      </c>
      <c r="B58" s="3" t="s">
        <v>125</v>
      </c>
      <c r="C58" s="2">
        <v>5</v>
      </c>
      <c r="D58" s="2"/>
      <c r="E58" s="2"/>
      <c r="F58" s="2">
        <v>85</v>
      </c>
      <c r="G58" s="6">
        <v>0.87</v>
      </c>
      <c r="H58" s="2" t="s">
        <v>8</v>
      </c>
      <c r="I58" s="97">
        <f>M58</f>
        <v>24.249752951578508</v>
      </c>
      <c r="J58" s="119">
        <f>IF(M58=0,0,N58+180)</f>
        <v>270.4586394998572</v>
      </c>
      <c r="K58" s="111"/>
      <c r="L58" s="113"/>
      <c r="M58" s="118">
        <f>IF(B58="motor",(C58*746/(F58/100))/G58/$C$3,IF(B58="KVA",E58*1000/$C$3,IF(B58="KW",D58*1000/(F58/100)/$C$3,0)))</f>
        <v>24.249752951578508</v>
      </c>
      <c r="N58" s="97">
        <f>IF(M58=0,0,IF(B58="KW",120,IF(H58="L",(120-DEGREES(ACOS(G58))),IF(H58="C",(120+DEGREES(ACOS(G58))),"L or C ?"))))</f>
        <v>90.45863949985721</v>
      </c>
      <c r="P58" s="32" t="s">
        <v>6</v>
      </c>
      <c r="Q58" s="38">
        <f>M58*COS(RADIANS(N58))</f>
        <v>-0.19411160621662515</v>
      </c>
      <c r="R58" s="38">
        <f>M58*SIN(RADIANS(N58))</f>
        <v>24.248976038111845</v>
      </c>
    </row>
    <row r="59" spans="1:18" ht="12" customHeight="1">
      <c r="A59" s="57"/>
      <c r="B59" s="58"/>
      <c r="C59" s="57"/>
      <c r="D59" s="57"/>
      <c r="E59" s="57"/>
      <c r="F59" s="57"/>
      <c r="G59" s="101"/>
      <c r="H59" s="102" t="s">
        <v>35</v>
      </c>
      <c r="I59" s="37">
        <f>M59</f>
        <v>65.98517450783446</v>
      </c>
      <c r="J59" s="124">
        <f>N59+180</f>
        <v>281.7993103662104</v>
      </c>
      <c r="K59" s="114"/>
      <c r="L59" s="116"/>
      <c r="M59" s="103">
        <f>((Q59^2+R59^2)^0.5)</f>
        <v>65.98517450783446</v>
      </c>
      <c r="N59" s="95">
        <f>IF(Q60=FALSE,DEGREES(ATAN2(Q59,R59)),0)</f>
        <v>101.7993103662104</v>
      </c>
      <c r="P59" s="105" t="s">
        <v>73</v>
      </c>
      <c r="Q59" s="38">
        <f>SUM(Q56:Q58)</f>
        <v>-13.49293022731282</v>
      </c>
      <c r="R59" s="38">
        <f>SUM(R56:R58)</f>
        <v>64.59089787818586</v>
      </c>
    </row>
    <row r="60" spans="16:17" ht="12" customHeight="1">
      <c r="P60" s="109" t="s">
        <v>120</v>
      </c>
      <c r="Q60" s="74" t="b">
        <f>AND(Q59=0,R59=0)</f>
        <v>0</v>
      </c>
    </row>
    <row r="61" spans="16:19" ht="12" customHeight="1">
      <c r="P61" s="20" t="s">
        <v>67</v>
      </c>
      <c r="Q61" s="125"/>
      <c r="R61" s="125"/>
      <c r="S61" s="13"/>
    </row>
    <row r="62" spans="11:18" ht="12" customHeight="1">
      <c r="K62" s="8" t="s">
        <v>122</v>
      </c>
      <c r="M62" s="8" t="s">
        <v>6</v>
      </c>
      <c r="Q62" s="126" t="s">
        <v>26</v>
      </c>
      <c r="R62" s="126" t="s">
        <v>37</v>
      </c>
    </row>
    <row r="63" spans="10:19" ht="12" customHeight="1">
      <c r="J63" s="8" t="s">
        <v>6</v>
      </c>
      <c r="P63" s="127" t="s">
        <v>77</v>
      </c>
      <c r="Q63" s="95">
        <f>SUM(Q45,-Q59)</f>
        <v>83.10776223438621</v>
      </c>
      <c r="R63" s="95">
        <f>R45-R59</f>
        <v>-89.88498033196653</v>
      </c>
      <c r="S63" s="98" t="s">
        <v>68</v>
      </c>
    </row>
    <row r="64" spans="9:19" ht="12" customHeight="1">
      <c r="I64" s="50"/>
      <c r="J64" s="50"/>
      <c r="K64" s="50"/>
      <c r="L64" s="50"/>
      <c r="M64" s="50"/>
      <c r="N64" s="50"/>
      <c r="P64" s="127" t="s">
        <v>78</v>
      </c>
      <c r="Q64" s="95">
        <f>Q52-Q45</f>
        <v>-133.90740409784178</v>
      </c>
      <c r="R64" s="95">
        <f>R52-R45</f>
        <v>-26.378860719052646</v>
      </c>
      <c r="S64" s="98" t="s">
        <v>69</v>
      </c>
    </row>
    <row r="65" spans="10:19" ht="12" customHeight="1">
      <c r="J65" s="50"/>
      <c r="K65" s="50"/>
      <c r="L65" s="50"/>
      <c r="M65" s="50"/>
      <c r="N65" s="50"/>
      <c r="P65" s="127" t="s">
        <v>79</v>
      </c>
      <c r="Q65" s="95">
        <f>Q59-Q52</f>
        <v>50.799641863455555</v>
      </c>
      <c r="R65" s="95">
        <f>R59-R52</f>
        <v>116.26384105101917</v>
      </c>
      <c r="S65" s="98" t="s">
        <v>70</v>
      </c>
    </row>
    <row r="66" spans="16:19" ht="12" customHeight="1">
      <c r="P66" s="98" t="s">
        <v>89</v>
      </c>
      <c r="Q66" s="95">
        <f>Q63+Q64+Q65</f>
        <v>0</v>
      </c>
      <c r="R66" s="95">
        <f>R63+R64+R65</f>
        <v>0</v>
      </c>
      <c r="S66" s="128" t="s">
        <v>88</v>
      </c>
    </row>
    <row r="67" ht="12" customHeight="1">
      <c r="U67" s="8" t="s">
        <v>6</v>
      </c>
    </row>
    <row r="68" ht="12" customHeight="1">
      <c r="P68" s="20" t="s">
        <v>64</v>
      </c>
    </row>
    <row r="69" spans="17:23" ht="12" customHeight="1">
      <c r="Q69" s="126" t="s">
        <v>26</v>
      </c>
      <c r="R69" s="126" t="s">
        <v>37</v>
      </c>
      <c r="S69" s="35" t="s">
        <v>66</v>
      </c>
      <c r="T69" s="35" t="s">
        <v>14</v>
      </c>
      <c r="U69" s="109" t="s">
        <v>123</v>
      </c>
      <c r="W69" s="129"/>
    </row>
    <row r="70" spans="16:21" ht="12" customHeight="1">
      <c r="P70" s="35" t="s">
        <v>51</v>
      </c>
      <c r="Q70" s="95">
        <f>Q63+Q24+Q17+Q10</f>
        <v>233.73424403158504</v>
      </c>
      <c r="R70" s="95">
        <f>R63+R24+R17+R10</f>
        <v>-219.4434663715799</v>
      </c>
      <c r="S70" s="95">
        <f>(Q70^2+R70^2)^0.5</f>
        <v>320.60432275031985</v>
      </c>
      <c r="T70" s="95">
        <f>IF(U70=FALSE,DEGREES(ATAN2(Q70,R70)),0)</f>
        <v>-43.193799087773144</v>
      </c>
      <c r="U70" s="74" t="b">
        <f>AND(Q70=0,R70=0)</f>
        <v>0</v>
      </c>
    </row>
    <row r="71" spans="16:21" ht="12" customHeight="1">
      <c r="P71" s="35" t="s">
        <v>52</v>
      </c>
      <c r="Q71" s="95">
        <f>Q64+Q31+T17+T10</f>
        <v>-316.8301642178242</v>
      </c>
      <c r="R71" s="95">
        <f>R64+R31+U17+U10</f>
        <v>-71.77333347055934</v>
      </c>
      <c r="S71" s="95">
        <f>(Q71^2+R71^2)^0.5</f>
        <v>324.8580680170489</v>
      </c>
      <c r="T71" s="95">
        <f>IF(U71=FALSE,DEGREES(ATAN2(Q71,R71)),0)</f>
        <v>-167.2358964278427</v>
      </c>
      <c r="U71" s="74" t="b">
        <f>AND(Q71=0,R71=0)</f>
        <v>0</v>
      </c>
    </row>
    <row r="72" spans="16:21" ht="12" customHeight="1">
      <c r="P72" s="35" t="s">
        <v>65</v>
      </c>
      <c r="Q72" s="95">
        <f>Q65+Q38+W17+W10</f>
        <v>132.73314224510835</v>
      </c>
      <c r="R72" s="95">
        <f>R65+R38+X17+X10</f>
        <v>365.7515639461791</v>
      </c>
      <c r="S72" s="95">
        <f>(Q72^2+R72^2)^0.5</f>
        <v>389.0916262004826</v>
      </c>
      <c r="T72" s="95">
        <f>IF(U72=FALSE,DEGREES(ATAN2(Q72,R72)),0)</f>
        <v>70.05390249592682</v>
      </c>
      <c r="U72" s="74" t="b">
        <f>AND(Q72=0,R72=0)</f>
        <v>0</v>
      </c>
    </row>
    <row r="73" spans="16:21" ht="12" customHeight="1">
      <c r="P73" s="130" t="s">
        <v>84</v>
      </c>
      <c r="Q73" s="95">
        <f>SUM(Q70:Q72)</f>
        <v>49.63722205886921</v>
      </c>
      <c r="R73" s="95">
        <f>SUM(R70:R72)</f>
        <v>74.53476410403988</v>
      </c>
      <c r="S73" s="95">
        <f>(Q73^2+R73^2)^0.5</f>
        <v>89.55045993051272</v>
      </c>
      <c r="T73" s="95">
        <f>IF(U73=FALSE,DEGREES(ATAN2(Q73,R73)),0)</f>
        <v>56.33794555263921</v>
      </c>
      <c r="U73" s="74" t="b">
        <f>AND(Q73=0,R73=0)</f>
        <v>0</v>
      </c>
    </row>
    <row r="74" ht="12" customHeight="1">
      <c r="T74" s="8" t="s">
        <v>6</v>
      </c>
    </row>
    <row r="75" spans="16:24" ht="12" customHeight="1">
      <c r="P75" s="131"/>
      <c r="Q75" s="27"/>
      <c r="R75" s="27"/>
      <c r="S75" s="27" t="s">
        <v>49</v>
      </c>
      <c r="T75" s="27"/>
      <c r="U75" s="27"/>
      <c r="V75" s="27"/>
      <c r="W75" s="27"/>
      <c r="X75" s="132"/>
    </row>
    <row r="76" spans="16:24" ht="12" customHeight="1">
      <c r="P76" s="30" t="s">
        <v>50</v>
      </c>
      <c r="Q76" s="30" t="s">
        <v>51</v>
      </c>
      <c r="R76" s="30" t="s">
        <v>52</v>
      </c>
      <c r="S76" s="35" t="s">
        <v>65</v>
      </c>
      <c r="T76" s="30" t="s">
        <v>53</v>
      </c>
      <c r="U76" s="30" t="s">
        <v>54</v>
      </c>
      <c r="V76" s="30" t="s">
        <v>55</v>
      </c>
      <c r="W76" s="31" t="s">
        <v>56</v>
      </c>
      <c r="X76" s="30" t="s">
        <v>57</v>
      </c>
    </row>
    <row r="77" spans="16:24" ht="12" customHeight="1">
      <c r="P77" s="35" t="s">
        <v>58</v>
      </c>
      <c r="Q77" s="35" t="s">
        <v>59</v>
      </c>
      <c r="R77" s="35" t="s">
        <v>59</v>
      </c>
      <c r="S77" s="35" t="s">
        <v>85</v>
      </c>
      <c r="T77" s="35" t="s">
        <v>59</v>
      </c>
      <c r="U77" s="35" t="s">
        <v>4</v>
      </c>
      <c r="V77" s="35" t="s">
        <v>60</v>
      </c>
      <c r="W77" s="36" t="s">
        <v>2</v>
      </c>
      <c r="X77" s="35" t="s">
        <v>61</v>
      </c>
    </row>
    <row r="78" spans="16:24" ht="12" customHeight="1">
      <c r="P78" s="35" t="s">
        <v>62</v>
      </c>
      <c r="Q78" s="37">
        <f>S70</f>
        <v>320.60432275031985</v>
      </c>
      <c r="R78" s="37">
        <f>S71</f>
        <v>324.8580680170489</v>
      </c>
      <c r="S78" s="37">
        <f>S72</f>
        <v>389.0916262004826</v>
      </c>
      <c r="T78" s="37">
        <f>S73</f>
        <v>89.55045993051272</v>
      </c>
      <c r="U78" s="95">
        <f>(P6+P13+P20+P27+P34+P41+P48+P55)/1000</f>
        <v>118.66733151858166</v>
      </c>
      <c r="V78" s="95">
        <f>(P8+P15+P22+P29+P36+P43+P50+P57)/1000</f>
        <v>36.28691202243138</v>
      </c>
      <c r="W78" s="37">
        <f>((U78)^2+(V78)^2)^0.5</f>
        <v>124.09139999961576</v>
      </c>
      <c r="X78" s="38">
        <f>COS(RADIANS(W79))</f>
        <v>0.9562897309479069</v>
      </c>
    </row>
    <row r="79" spans="16:24" ht="12" customHeight="1">
      <c r="P79" s="35" t="s">
        <v>63</v>
      </c>
      <c r="Q79" s="37">
        <f>T70</f>
        <v>-43.193799087773144</v>
      </c>
      <c r="R79" s="37">
        <f>T71</f>
        <v>-167.2358964278427</v>
      </c>
      <c r="S79" s="37">
        <f>T72</f>
        <v>70.05390249592682</v>
      </c>
      <c r="T79" s="37">
        <f>T73</f>
        <v>56.33794555263921</v>
      </c>
      <c r="U79" s="37">
        <v>0</v>
      </c>
      <c r="V79" s="37">
        <f>IF(ROUND(V78,3)=0,0,IF(V78&gt;0,90,-90))</f>
        <v>90</v>
      </c>
      <c r="W79" s="95">
        <f>IF(W80=FALSE,DEGREES(ATAN2(U78,V78)),0)</f>
        <v>17.002944189198285</v>
      </c>
      <c r="X79" s="37" t="str">
        <f>IF(ROUND(W79,3)=0,"unity",IF(W79&gt;0,"LAG","LEAD"))</f>
        <v>LAG</v>
      </c>
    </row>
    <row r="80" spans="21:23" ht="12" customHeight="1">
      <c r="U80" s="74"/>
      <c r="V80" s="109" t="s">
        <v>123</v>
      </c>
      <c r="W80" s="74" t="b">
        <f>AND(U78=0,V78=0)</f>
        <v>0</v>
      </c>
    </row>
    <row r="82" ht="12" customHeight="1">
      <c r="V82" s="33"/>
    </row>
    <row r="84" ht="12" customHeight="1">
      <c r="X84" s="37"/>
    </row>
    <row r="85" ht="12" customHeight="1">
      <c r="X85" s="8" t="s">
        <v>6</v>
      </c>
    </row>
  </sheetData>
  <sheetProtection password="C337" sheet="1" objects="1" scenarios="1"/>
  <printOptions/>
  <pageMargins left="0.54" right="0.56" top="0.54" bottom="0.56" header="0.43" footer="0.42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Hoyle</dc:creator>
  <cp:keywords/>
  <dc:description/>
  <cp:lastModifiedBy>Hoyle</cp:lastModifiedBy>
  <cp:lastPrinted>2003-04-29T15:36:12Z</cp:lastPrinted>
  <dcterms:created xsi:type="dcterms:W3CDTF">2002-12-09T21:38:03Z</dcterms:created>
  <dcterms:modified xsi:type="dcterms:W3CDTF">2003-04-29T15:50:40Z</dcterms:modified>
  <cp:category/>
  <cp:version/>
  <cp:contentType/>
  <cp:contentStatus/>
</cp:coreProperties>
</file>