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585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'Sheet1'!$A$1:$M$53</definedName>
  </definedNames>
  <calcPr fullCalcOnLoad="1"/>
</workbook>
</file>

<file path=xl/sharedStrings.xml><?xml version="1.0" encoding="utf-8"?>
<sst xmlns="http://schemas.openxmlformats.org/spreadsheetml/2006/main" count="150" uniqueCount="93">
  <si>
    <t>RFo</t>
  </si>
  <si>
    <t>RAo</t>
  </si>
  <si>
    <t>R1o</t>
  </si>
  <si>
    <t>R2o</t>
  </si>
  <si>
    <t>RF</t>
  </si>
  <si>
    <t>RA</t>
  </si>
  <si>
    <t>R1</t>
  </si>
  <si>
    <t>R2</t>
  </si>
  <si>
    <r>
      <t xml:space="preserve">Single Stage Op Amp Difference Amplifier Error Budget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</si>
  <si>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r>
      <t>Temp C</t>
    </r>
    <r>
      <rPr>
        <b/>
        <vertAlign val="superscript"/>
        <sz val="9"/>
        <rFont val="Arial"/>
        <family val="2"/>
      </rPr>
      <t>o</t>
    </r>
  </si>
  <si>
    <r>
      <t>Vcm</t>
    </r>
    <r>
      <rPr>
        <b/>
        <vertAlign val="superscript"/>
        <sz val="8"/>
        <rFont val="Arial"/>
        <family val="2"/>
      </rPr>
      <t>T</t>
    </r>
  </si>
  <si>
    <t xml:space="preserve">Res % </t>
  </si>
  <si>
    <t xml:space="preserve">    Random Total</t>
  </si>
  <si>
    <t>Error</t>
  </si>
  <si>
    <t>Max</t>
  </si>
  <si>
    <t>Min</t>
  </si>
  <si>
    <t xml:space="preserve">     Manufacture's Variation</t>
  </si>
  <si>
    <t>Ib</t>
  </si>
  <si>
    <t>Ibos</t>
  </si>
  <si>
    <t>Vios</t>
  </si>
  <si>
    <t>Ib%</t>
  </si>
  <si>
    <t>%Ibos</t>
  </si>
  <si>
    <t>%Vios</t>
  </si>
  <si>
    <t xml:space="preserve">Ib TC </t>
  </si>
  <si>
    <t>Ibos TC</t>
  </si>
  <si>
    <t xml:space="preserve">Vios TC </t>
  </si>
  <si>
    <t xml:space="preserve">Ib </t>
  </si>
  <si>
    <t xml:space="preserve">Ibos </t>
  </si>
  <si>
    <t xml:space="preserve">Vios </t>
  </si>
  <si>
    <t>Total</t>
  </si>
  <si>
    <t>Volts</t>
  </si>
  <si>
    <t>Note:</t>
  </si>
  <si>
    <t xml:space="preserve">Gol*RA/(RA+RF)  Assumed &gt;&gt;&gt;1 with Ro, Rdi, Rcm, PSRR neglected  </t>
  </si>
  <si>
    <t>Reference Dataforth's Application Note AN102</t>
  </si>
  <si>
    <t xml:space="preserve">          Nominal Values </t>
  </si>
  <si>
    <t>R%</t>
  </si>
  <si>
    <t>Gol</t>
  </si>
  <si>
    <t>Gn-</t>
  </si>
  <si>
    <t>Gp+</t>
  </si>
  <si>
    <t>Vout</t>
  </si>
  <si>
    <t xml:space="preserve"> </t>
  </si>
  <si>
    <t>Actual</t>
  </si>
  <si>
    <t xml:space="preserve">      Output</t>
  </si>
  <si>
    <t>% Error</t>
  </si>
  <si>
    <t xml:space="preserve">          </t>
  </si>
  <si>
    <t xml:space="preserve">    Single Stage Op Amp Difference Amplifier Gain Error</t>
  </si>
  <si>
    <t xml:space="preserve">       Reference Dataforth's Application Note AN102</t>
  </si>
  <si>
    <t>G1</t>
  </si>
  <si>
    <t>G2</t>
  </si>
  <si>
    <t>RF1o</t>
  </si>
  <si>
    <t>RF2o</t>
  </si>
  <si>
    <t>RGo</t>
  </si>
  <si>
    <t>V1</t>
  </si>
  <si>
    <t>V2</t>
  </si>
  <si>
    <r>
      <t xml:space="preserve"> </t>
    </r>
    <r>
      <rPr>
        <b/>
        <sz val="10"/>
        <rFont val="Symbol"/>
        <family val="1"/>
      </rPr>
      <t>D</t>
    </r>
    <r>
      <rPr>
        <b/>
        <vertAlign val="subscript"/>
        <sz val="10"/>
        <rFont val="Symbol"/>
        <family val="1"/>
      </rPr>
      <t>21</t>
    </r>
    <r>
      <rPr>
        <b/>
        <sz val="9"/>
        <rFont val="Arial"/>
        <family val="2"/>
      </rPr>
      <t>Vout</t>
    </r>
  </si>
  <si>
    <t>RF1</t>
  </si>
  <si>
    <t>RF2</t>
  </si>
  <si>
    <t>RG</t>
  </si>
  <si>
    <t>Gain</t>
  </si>
  <si>
    <t>Eqn 12</t>
  </si>
  <si>
    <r>
      <t xml:space="preserve">        Instrument Amplifier Gain (2RF/RG+1) Error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  </t>
    </r>
  </si>
  <si>
    <t>Notes</t>
  </si>
  <si>
    <t>G%</t>
  </si>
  <si>
    <t>G1o</t>
  </si>
  <si>
    <t>G2o</t>
  </si>
  <si>
    <r>
      <t>S</t>
    </r>
    <r>
      <rPr>
        <b/>
        <sz val="9"/>
        <rFont val="Symbol"/>
        <family val="1"/>
      </rPr>
      <t xml:space="preserve"> </t>
    </r>
    <r>
      <rPr>
        <b/>
        <sz val="9"/>
        <rFont val="Arial"/>
        <family val="2"/>
      </rPr>
      <t>Errors</t>
    </r>
  </si>
  <si>
    <t xml:space="preserve">    Ro, Rdi, Rcm, PSRR neglected </t>
  </si>
  <si>
    <t xml:space="preserve"> Random  Gain Error Analysis</t>
  </si>
  <si>
    <r>
      <t xml:space="preserve"> </t>
    </r>
    <r>
      <rPr>
        <b/>
        <sz val="10"/>
        <rFont val="Symbol"/>
        <family val="1"/>
      </rPr>
      <t>D</t>
    </r>
    <r>
      <rPr>
        <b/>
        <vertAlign val="subscript"/>
        <sz val="10"/>
        <rFont val="Symbol"/>
        <family val="1"/>
      </rPr>
      <t>21</t>
    </r>
    <r>
      <rPr>
        <b/>
        <sz val="10"/>
        <rFont val="Arial"/>
        <family val="2"/>
      </rPr>
      <t>In</t>
    </r>
  </si>
  <si>
    <t>CMR1-db</t>
  </si>
  <si>
    <t>CMR2-db</t>
  </si>
  <si>
    <t>CMR</t>
  </si>
  <si>
    <t xml:space="preserve">CMR-db </t>
  </si>
  <si>
    <t xml:space="preserve">           Enter choice of values in  shaded cells beneath each parameter</t>
  </si>
  <si>
    <t xml:space="preserve">           Enter choice of values in shaded cells beneath each parameter</t>
  </si>
  <si>
    <t xml:space="preserve">          Enter choice of values in shaded cells beneath each parameter</t>
  </si>
  <si>
    <t xml:space="preserve">           Select cell A14, keep cursor on cell A14; press "delete" key to generate random sets of data</t>
  </si>
  <si>
    <t xml:space="preserve">          Select cell B14, keep cursor on Cell B14; press "delete" key to generate random sets of data</t>
  </si>
  <si>
    <t xml:space="preserve">           Select cell B14, keep cursor on Cell B14; press "delete" key to enter new random sets of data </t>
  </si>
  <si>
    <t>V1-</t>
  </si>
  <si>
    <t>V2+</t>
  </si>
  <si>
    <t xml:space="preserve">            Error</t>
  </si>
  <si>
    <t>Eqn 11</t>
  </si>
  <si>
    <t>Vout/(V2-V1)</t>
  </si>
  <si>
    <t xml:space="preserve">Temp Adder  (T-25)*TC    </t>
  </si>
  <si>
    <t xml:space="preserve"> Rp1</t>
  </si>
  <si>
    <t xml:space="preserve"> Rp2</t>
  </si>
  <si>
    <r>
      <t xml:space="preserve"> </t>
    </r>
    <r>
      <rPr>
        <b/>
        <sz val="10"/>
        <rFont val="Symbol"/>
        <family val="1"/>
      </rPr>
      <t>D</t>
    </r>
    <r>
      <rPr>
        <b/>
        <vertAlign val="subscript"/>
        <sz val="10"/>
        <rFont val="Symbol"/>
        <family val="1"/>
      </rPr>
      <t>21</t>
    </r>
    <r>
      <rPr>
        <b/>
        <sz val="10"/>
        <rFont val="Arial"/>
        <family val="2"/>
      </rPr>
      <t>Vout</t>
    </r>
  </si>
  <si>
    <t xml:space="preserve">                  </t>
  </si>
  <si>
    <t>Error Analysis for RF1o = RF2o    Eqns 13,14,15,16</t>
  </si>
  <si>
    <t xml:space="preserve">                  Ip &amp; Rp Error </t>
  </si>
  <si>
    <t xml:space="preserve"> Ip2 = Ip1</t>
  </si>
  <si>
    <r>
      <t xml:space="preserve"> </t>
    </r>
    <r>
      <rPr>
        <b/>
        <sz val="10"/>
        <rFont val="Symbol"/>
        <family val="1"/>
      </rPr>
      <t>D</t>
    </r>
    <r>
      <rPr>
        <b/>
        <vertAlign val="subscript"/>
        <sz val="10"/>
        <rFont val="Symbol"/>
        <family val="1"/>
      </rPr>
      <t>12</t>
    </r>
    <r>
      <rPr>
        <b/>
        <sz val="10"/>
        <rFont val="Arial"/>
        <family val="2"/>
      </rPr>
      <t>Vios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</si>
</sst>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E+00"/>
    <numFmt numFmtId="167" formatCode="0.000E+00"/>
    <numFmt numFmtId="168" formatCode="0.0"/>
  </numFmts>
  <fonts count="16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Symbol"/>
      <family val="1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b/>
      <sz val="9"/>
      <name val="Symbol"/>
      <family val="1"/>
    </font>
  </fonts>
  <fills count="4">
    <fill>
      <patternFill/>
    </fill>
    <fill>
      <patternFill patternType="gray125"/>
    </fill>
    <fill>
      <patternFill patternType="gray0625"/>
    </fill>
    <fill>
      <patternFill patternType="lightGrid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" fontId="1" fillId="0" borderId="1" xfId="0" applyNumberFormat="1" applyFont="1" applyBorder="1" applyAlignment="1" applyProtection="1">
      <alignment horizontal="center"/>
      <protection/>
    </xf>
    <xf numFmtId="11" fontId="1" fillId="0" borderId="0" xfId="0" applyNumberFormat="1" applyFont="1" applyAlignment="1" applyProtection="1">
      <alignment horizontal="center"/>
      <protection/>
    </xf>
    <xf numFmtId="11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11" fontId="3" fillId="0" borderId="0" xfId="0" applyNumberFormat="1" applyFont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1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1" fontId="6" fillId="0" borderId="0" xfId="0" applyNumberFormat="1" applyFont="1" applyAlignment="1" applyProtection="1">
      <alignment/>
      <protection/>
    </xf>
    <xf numFmtId="11" fontId="5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11" fontId="5" fillId="0" borderId="2" xfId="0" applyNumberFormat="1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/>
      <protection/>
    </xf>
    <xf numFmtId="11" fontId="1" fillId="0" borderId="4" xfId="0" applyNumberFormat="1" applyFont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1" fontId="6" fillId="2" borderId="5" xfId="0" applyNumberFormat="1" applyFont="1" applyFill="1" applyBorder="1" applyAlignment="1" applyProtection="1">
      <alignment horizontal="center"/>
      <protection locked="0"/>
    </xf>
    <xf numFmtId="11" fontId="6" fillId="2" borderId="5" xfId="0" applyNumberFormat="1" applyFont="1" applyFill="1" applyBorder="1" applyAlignment="1" applyProtection="1">
      <alignment horizontal="center"/>
      <protection locked="0"/>
    </xf>
    <xf numFmtId="11" fontId="6" fillId="2" borderId="5" xfId="0" applyNumberFormat="1" applyFont="1" applyFill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/>
    </xf>
    <xf numFmtId="11" fontId="5" fillId="0" borderId="7" xfId="0" applyNumberFormat="1" applyFont="1" applyBorder="1" applyAlignment="1" applyProtection="1">
      <alignment horizontal="center"/>
      <protection/>
    </xf>
    <xf numFmtId="11" fontId="5" fillId="0" borderId="3" xfId="0" applyNumberFormat="1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center"/>
      <protection/>
    </xf>
    <xf numFmtId="11" fontId="6" fillId="0" borderId="4" xfId="0" applyNumberFormat="1" applyFont="1" applyBorder="1" applyAlignment="1" applyProtection="1">
      <alignment/>
      <protection/>
    </xf>
    <xf numFmtId="11" fontId="6" fillId="0" borderId="5" xfId="0" applyNumberFormat="1" applyFont="1" applyBorder="1" applyAlignment="1" applyProtection="1">
      <alignment horizontal="center"/>
      <protection/>
    </xf>
    <xf numFmtId="11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11" fontId="6" fillId="0" borderId="11" xfId="0" applyNumberFormat="1" applyFont="1" applyBorder="1" applyAlignment="1" applyProtection="1">
      <alignment horizontal="center"/>
      <protection/>
    </xf>
    <xf numFmtId="11" fontId="6" fillId="0" borderId="0" xfId="0" applyNumberFormat="1" applyFont="1" applyBorder="1" applyAlignment="1" applyProtection="1">
      <alignment horizontal="center"/>
      <protection/>
    </xf>
    <xf numFmtId="11" fontId="1" fillId="0" borderId="5" xfId="0" applyNumberFormat="1" applyFont="1" applyBorder="1" applyAlignment="1" applyProtection="1">
      <alignment horizontal="center"/>
      <protection/>
    </xf>
    <xf numFmtId="11" fontId="5" fillId="0" borderId="12" xfId="0" applyNumberFormat="1" applyFont="1" applyBorder="1" applyAlignment="1" applyProtection="1">
      <alignment horizontal="center"/>
      <protection/>
    </xf>
    <xf numFmtId="11" fontId="5" fillId="0" borderId="6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11" fontId="5" fillId="0" borderId="14" xfId="0" applyNumberFormat="1" applyFont="1" applyBorder="1" applyAlignment="1" applyProtection="1">
      <alignment horizontal="center"/>
      <protection/>
    </xf>
    <xf numFmtId="11" fontId="5" fillId="0" borderId="9" xfId="0" applyNumberFormat="1" applyFont="1" applyBorder="1" applyAlignment="1" applyProtection="1">
      <alignment horizontal="center"/>
      <protection/>
    </xf>
    <xf numFmtId="11" fontId="5" fillId="0" borderId="15" xfId="0" applyNumberFormat="1" applyFont="1" applyBorder="1" applyAlignment="1" applyProtection="1">
      <alignment horizontal="center"/>
      <protection/>
    </xf>
    <xf numFmtId="1" fontId="1" fillId="0" borderId="5" xfId="0" applyNumberFormat="1" applyFont="1" applyBorder="1" applyAlignment="1" applyProtection="1">
      <alignment horizontal="center"/>
      <protection/>
    </xf>
    <xf numFmtId="1" fontId="6" fillId="0" borderId="5" xfId="0" applyNumberFormat="1" applyFont="1" applyBorder="1" applyAlignment="1" applyProtection="1">
      <alignment horizontal="center"/>
      <protection/>
    </xf>
    <xf numFmtId="11" fontId="6" fillId="0" borderId="1" xfId="0" applyNumberFormat="1" applyFont="1" applyBorder="1" applyAlignment="1" applyProtection="1">
      <alignment horizontal="center"/>
      <protection/>
    </xf>
    <xf numFmtId="11" fontId="6" fillId="0" borderId="5" xfId="0" applyNumberFormat="1" applyFont="1" applyBorder="1" applyAlignment="1" applyProtection="1">
      <alignment/>
      <protection/>
    </xf>
    <xf numFmtId="1" fontId="6" fillId="0" borderId="1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11" fontId="6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1" fontId="1" fillId="0" borderId="0" xfId="0" applyNumberFormat="1" applyFont="1" applyBorder="1" applyAlignment="1" applyProtection="1">
      <alignment horizontal="center"/>
      <protection/>
    </xf>
    <xf numFmtId="1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1" fontId="3" fillId="0" borderId="0" xfId="0" applyNumberFormat="1" applyFont="1" applyAlignment="1" applyProtection="1">
      <alignment horizontal="left"/>
      <protection/>
    </xf>
    <xf numFmtId="0" fontId="1" fillId="3" borderId="1" xfId="0" applyFont="1" applyFill="1" applyBorder="1" applyAlignment="1" applyProtection="1">
      <alignment/>
      <protection locked="0"/>
    </xf>
    <xf numFmtId="2" fontId="1" fillId="0" borderId="0" xfId="0" applyNumberFormat="1" applyFont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11" fontId="1" fillId="2" borderId="1" xfId="0" applyNumberFormat="1" applyFont="1" applyFill="1" applyBorder="1" applyAlignment="1" applyProtection="1">
      <alignment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11" fontId="1" fillId="0" borderId="0" xfId="0" applyNumberFormat="1" applyFont="1" applyFill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/>
      <protection/>
    </xf>
    <xf numFmtId="2" fontId="1" fillId="0" borderId="4" xfId="0" applyNumberFormat="1" applyFont="1" applyBorder="1" applyAlignment="1" applyProtection="1">
      <alignment/>
      <protection/>
    </xf>
    <xf numFmtId="1" fontId="3" fillId="0" borderId="6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2" fontId="3" fillId="0" borderId="14" xfId="0" applyNumberFormat="1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 horizontal="center"/>
      <protection/>
    </xf>
    <xf numFmtId="2" fontId="3" fillId="0" borderId="5" xfId="0" applyNumberFormat="1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center"/>
      <protection/>
    </xf>
    <xf numFmtId="2" fontId="1" fillId="0" borderId="5" xfId="0" applyNumberFormat="1" applyFont="1" applyBorder="1" applyAlignment="1" applyProtection="1">
      <alignment horizontal="center"/>
      <protection/>
    </xf>
    <xf numFmtId="11" fontId="1" fillId="2" borderId="1" xfId="0" applyNumberFormat="1" applyFont="1" applyFill="1" applyBorder="1" applyAlignment="1" applyProtection="1">
      <alignment horizontal="center"/>
      <protection locked="0"/>
    </xf>
    <xf numFmtId="2" fontId="3" fillId="0" borderId="3" xfId="0" applyNumberFormat="1" applyFont="1" applyFill="1" applyBorder="1" applyAlignment="1" applyProtection="1">
      <alignment horizontal="left"/>
      <protection/>
    </xf>
    <xf numFmtId="2" fontId="1" fillId="0" borderId="8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2" fontId="3" fillId="0" borderId="2" xfId="0" applyNumberFormat="1" applyFont="1" applyBorder="1" applyAlignment="1" applyProtection="1">
      <alignment horizontal="center"/>
      <protection/>
    </xf>
    <xf numFmtId="11" fontId="1" fillId="2" borderId="5" xfId="0" applyNumberFormat="1" applyFont="1" applyFill="1" applyBorder="1" applyAlignment="1" applyProtection="1">
      <alignment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2" fontId="3" fillId="0" borderId="6" xfId="0" applyNumberFormat="1" applyFont="1" applyBorder="1" applyAlignment="1" applyProtection="1">
      <alignment horizontal="center"/>
      <protection/>
    </xf>
    <xf numFmtId="2" fontId="12" fillId="0" borderId="7" xfId="0" applyNumberFormat="1" applyFont="1" applyBorder="1" applyAlignment="1" applyProtection="1">
      <alignment horizontal="center"/>
      <protection/>
    </xf>
    <xf numFmtId="2" fontId="3" fillId="0" borderId="9" xfId="0" applyNumberFormat="1" applyFont="1" applyBorder="1" applyAlignment="1" applyProtection="1">
      <alignment horizontal="center"/>
      <protection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/>
    </xf>
    <xf numFmtId="167" fontId="1" fillId="2" borderId="5" xfId="0" applyNumberFormat="1" applyFont="1" applyFill="1" applyBorder="1" applyAlignment="1" applyProtection="1">
      <alignment/>
      <protection locked="0"/>
    </xf>
    <xf numFmtId="2" fontId="12" fillId="0" borderId="7" xfId="0" applyNumberFormat="1" applyFont="1" applyBorder="1" applyAlignment="1" applyProtection="1">
      <alignment horizontal="left"/>
      <protection/>
    </xf>
    <xf numFmtId="2" fontId="12" fillId="0" borderId="18" xfId="0" applyNumberFormat="1" applyFont="1" applyBorder="1" applyAlignment="1" applyProtection="1">
      <alignment horizontal="center"/>
      <protection/>
    </xf>
    <xf numFmtId="11" fontId="1" fillId="2" borderId="1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left"/>
      <protection/>
    </xf>
    <xf numFmtId="2" fontId="12" fillId="0" borderId="19" xfId="0" applyNumberFormat="1" applyFont="1" applyBorder="1" applyAlignment="1" applyProtection="1">
      <alignment horizontal="center"/>
      <protection/>
    </xf>
    <xf numFmtId="11" fontId="3" fillId="0" borderId="7" xfId="0" applyNumberFormat="1" applyFont="1" applyFill="1" applyBorder="1" applyAlignment="1" applyProtection="1">
      <alignment horizontal="center"/>
      <protection/>
    </xf>
    <xf numFmtId="1" fontId="3" fillId="0" borderId="7" xfId="0" applyNumberFormat="1" applyFont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2" fontId="12" fillId="0" borderId="20" xfId="0" applyNumberFormat="1" applyFont="1" applyBorder="1" applyAlignment="1" applyProtection="1">
      <alignment horizontal="center"/>
      <protection/>
    </xf>
    <xf numFmtId="2" fontId="3" fillId="0" borderId="19" xfId="0" applyNumberFormat="1" applyFont="1" applyBorder="1" applyAlignment="1" applyProtection="1">
      <alignment horizontal="center"/>
      <protection/>
    </xf>
    <xf numFmtId="167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1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1" fillId="0" borderId="2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11" fillId="0" borderId="8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center"/>
      <protection/>
    </xf>
    <xf numFmtId="11" fontId="0" fillId="0" borderId="0" xfId="0" applyNumberFormat="1" applyAlignment="1" applyProtection="1">
      <alignment/>
      <protection/>
    </xf>
    <xf numFmtId="11" fontId="1" fillId="0" borderId="20" xfId="0" applyNumberFormat="1" applyFont="1" applyFill="1" applyBorder="1" applyAlignment="1" applyProtection="1">
      <alignment horizontal="center"/>
      <protection/>
    </xf>
    <xf numFmtId="11" fontId="1" fillId="0" borderId="16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2" borderId="14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11" fontId="1" fillId="2" borderId="21" xfId="0" applyNumberFormat="1" applyFont="1" applyFill="1" applyBorder="1" applyAlignment="1" applyProtection="1">
      <alignment/>
      <protection locked="0"/>
    </xf>
    <xf numFmtId="11" fontId="3" fillId="0" borderId="12" xfId="0" applyNumberFormat="1" applyFont="1" applyFill="1" applyBorder="1" applyAlignment="1" applyProtection="1">
      <alignment horizontal="left"/>
      <protection/>
    </xf>
    <xf numFmtId="1" fontId="0" fillId="0" borderId="0" xfId="0" applyNumberFormat="1" applyAlignment="1">
      <alignment/>
    </xf>
    <xf numFmtId="0" fontId="3" fillId="0" borderId="18" xfId="0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/>
      <protection/>
    </xf>
    <xf numFmtId="11" fontId="1" fillId="0" borderId="22" xfId="0" applyNumberFormat="1" applyFont="1" applyBorder="1" applyAlignment="1" applyProtection="1">
      <alignment horizontal="center"/>
      <protection/>
    </xf>
    <xf numFmtId="11" fontId="1" fillId="0" borderId="22" xfId="0" applyNumberFormat="1" applyFont="1" applyBorder="1" applyAlignment="1" applyProtection="1">
      <alignment/>
      <protection/>
    </xf>
    <xf numFmtId="11" fontId="1" fillId="0" borderId="17" xfId="0" applyNumberFormat="1" applyFont="1" applyBorder="1" applyAlignment="1" applyProtection="1">
      <alignment/>
      <protection/>
    </xf>
    <xf numFmtId="11" fontId="1" fillId="0" borderId="16" xfId="0" applyNumberFormat="1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2" fontId="3" fillId="0" borderId="7" xfId="0" applyNumberFormat="1" applyFont="1" applyBorder="1" applyAlignment="1" applyProtection="1">
      <alignment horizontal="center"/>
      <protection/>
    </xf>
    <xf numFmtId="2" fontId="3" fillId="0" borderId="18" xfId="0" applyNumberFormat="1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11</xdr:col>
      <xdr:colOff>142875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47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13</xdr:row>
      <xdr:rowOff>76200</xdr:rowOff>
    </xdr:from>
    <xdr:to>
      <xdr:col>2</xdr:col>
      <xdr:colOff>276225</xdr:colOff>
      <xdr:row>13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781050" y="2324100"/>
          <a:ext cx="25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76200</xdr:rowOff>
    </xdr:from>
    <xdr:to>
      <xdr:col>2</xdr:col>
      <xdr:colOff>276225</xdr:colOff>
      <xdr:row>11</xdr:row>
      <xdr:rowOff>76200</xdr:rowOff>
    </xdr:to>
    <xdr:sp>
      <xdr:nvSpPr>
        <xdr:cNvPr id="3" name="Line 5"/>
        <xdr:cNvSpPr>
          <a:spLocks/>
        </xdr:cNvSpPr>
      </xdr:nvSpPr>
      <xdr:spPr>
        <a:xfrm flipH="1">
          <a:off x="781050" y="2000250"/>
          <a:ext cx="25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1</xdr:row>
      <xdr:rowOff>28575</xdr:rowOff>
    </xdr:from>
    <xdr:to>
      <xdr:col>12</xdr:col>
      <xdr:colOff>285750</xdr:colOff>
      <xdr:row>4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90500"/>
          <a:ext cx="5924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200025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40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13</xdr:row>
      <xdr:rowOff>95250</xdr:rowOff>
    </xdr:from>
    <xdr:to>
      <xdr:col>1</xdr:col>
      <xdr:colOff>123825</xdr:colOff>
      <xdr:row>13</xdr:row>
      <xdr:rowOff>95250</xdr:rowOff>
    </xdr:to>
    <xdr:sp>
      <xdr:nvSpPr>
        <xdr:cNvPr id="2" name="Line 4"/>
        <xdr:cNvSpPr>
          <a:spLocks/>
        </xdr:cNvSpPr>
      </xdr:nvSpPr>
      <xdr:spPr>
        <a:xfrm flipH="1">
          <a:off x="590550" y="2276475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104775</xdr:rowOff>
    </xdr:from>
    <xdr:to>
      <xdr:col>1</xdr:col>
      <xdr:colOff>295275</xdr:colOff>
      <xdr:row>13</xdr:row>
      <xdr:rowOff>104775</xdr:rowOff>
    </xdr:to>
    <xdr:sp>
      <xdr:nvSpPr>
        <xdr:cNvPr id="3" name="Line 5"/>
        <xdr:cNvSpPr>
          <a:spLocks/>
        </xdr:cNvSpPr>
      </xdr:nvSpPr>
      <xdr:spPr>
        <a:xfrm>
          <a:off x="666750" y="2286000"/>
          <a:ext cx="17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76200</xdr:rowOff>
    </xdr:from>
    <xdr:to>
      <xdr:col>1</xdr:col>
      <xdr:colOff>314325</xdr:colOff>
      <xdr:row>11</xdr:row>
      <xdr:rowOff>76200</xdr:rowOff>
    </xdr:to>
    <xdr:sp>
      <xdr:nvSpPr>
        <xdr:cNvPr id="4" name="Line 7"/>
        <xdr:cNvSpPr>
          <a:spLocks/>
        </xdr:cNvSpPr>
      </xdr:nvSpPr>
      <xdr:spPr>
        <a:xfrm flipH="1">
          <a:off x="600075" y="1933575"/>
          <a:ext cx="25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142875</xdr:rowOff>
    </xdr:from>
    <xdr:to>
      <xdr:col>11</xdr:col>
      <xdr:colOff>476250</xdr:colOff>
      <xdr:row>4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42875"/>
          <a:ext cx="600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13</xdr:row>
      <xdr:rowOff>85725</xdr:rowOff>
    </xdr:from>
    <xdr:to>
      <xdr:col>2</xdr:col>
      <xdr:colOff>323850</xdr:colOff>
      <xdr:row>13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876300" y="2324100"/>
          <a:ext cx="257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85725</xdr:rowOff>
    </xdr:from>
    <xdr:to>
      <xdr:col>2</xdr:col>
      <xdr:colOff>323850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876300" y="1981200"/>
          <a:ext cx="257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1</xdr:row>
      <xdr:rowOff>47625</xdr:rowOff>
    </xdr:from>
    <xdr:to>
      <xdr:col>10</xdr:col>
      <xdr:colOff>523875</xdr:colOff>
      <xdr:row>4</xdr:row>
      <xdr:rowOff>76200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6048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9"/>
  <sheetViews>
    <sheetView workbookViewId="0" topLeftCell="A1">
      <selection activeCell="H23" sqref="H23"/>
    </sheetView>
  </sheetViews>
  <sheetFormatPr defaultColWidth="9.140625" defaultRowHeight="12.75"/>
  <cols>
    <col min="1" max="1" width="4.421875" style="0" customWidth="1"/>
    <col min="2" max="2" width="7.00390625" style="0" customWidth="1"/>
    <col min="3" max="4" width="8.57421875" style="0" customWidth="1"/>
    <col min="5" max="5" width="6.8515625" style="0" customWidth="1"/>
    <col min="6" max="6" width="6.140625" style="0" customWidth="1"/>
    <col min="8" max="8" width="7.7109375" style="0" customWidth="1"/>
    <col min="9" max="9" width="7.421875" style="0" customWidth="1"/>
    <col min="10" max="10" width="7.421875" style="99" customWidth="1"/>
    <col min="11" max="11" width="7.28125" style="99" customWidth="1"/>
    <col min="12" max="12" width="6.8515625" style="0" customWidth="1"/>
    <col min="13" max="13" width="6.140625" style="0" customWidth="1"/>
  </cols>
  <sheetData>
    <row r="1" spans="1:14" ht="12.75">
      <c r="A1" s="1"/>
      <c r="B1" s="1"/>
      <c r="C1" s="63"/>
      <c r="D1" s="1"/>
      <c r="E1" s="1"/>
      <c r="F1" s="64"/>
      <c r="G1" s="64"/>
      <c r="H1" s="65"/>
      <c r="I1" s="1"/>
      <c r="J1" s="64"/>
      <c r="K1" s="64"/>
      <c r="L1" s="64"/>
      <c r="M1" s="1"/>
      <c r="N1" s="1"/>
    </row>
    <row r="2" spans="1:14" ht="12.75">
      <c r="A2" s="1"/>
      <c r="B2" s="1"/>
      <c r="C2" s="63"/>
      <c r="D2" s="1"/>
      <c r="E2" s="1"/>
      <c r="F2" s="64"/>
      <c r="G2" s="64"/>
      <c r="H2" s="65"/>
      <c r="I2" s="1"/>
      <c r="J2" s="64"/>
      <c r="K2" s="64"/>
      <c r="L2" s="64"/>
      <c r="M2" s="1"/>
      <c r="N2" s="1"/>
    </row>
    <row r="3" spans="1:14" ht="12.75">
      <c r="A3" s="1"/>
      <c r="B3" s="1"/>
      <c r="C3" s="63"/>
      <c r="D3" s="1"/>
      <c r="E3" s="1"/>
      <c r="F3" s="64"/>
      <c r="G3" s="64"/>
      <c r="H3" s="65"/>
      <c r="I3" s="1"/>
      <c r="J3" s="64"/>
      <c r="K3" s="64"/>
      <c r="L3" s="64"/>
      <c r="M3" s="1"/>
      <c r="N3" s="1"/>
    </row>
    <row r="4" spans="1:14" ht="12.75">
      <c r="A4" s="1"/>
      <c r="B4" s="1"/>
      <c r="C4" s="63"/>
      <c r="D4" s="1"/>
      <c r="E4" s="1"/>
      <c r="F4" s="64"/>
      <c r="G4" s="64"/>
      <c r="H4" s="65"/>
      <c r="I4" s="1"/>
      <c r="J4" s="64"/>
      <c r="K4" s="64"/>
      <c r="L4" s="64"/>
      <c r="M4" s="1"/>
      <c r="N4" s="1"/>
    </row>
    <row r="5" spans="1:14" ht="12.75">
      <c r="A5" s="1"/>
      <c r="B5" s="1"/>
      <c r="C5" s="63"/>
      <c r="D5" s="1"/>
      <c r="E5" s="1"/>
      <c r="F5" s="64"/>
      <c r="G5" s="64"/>
      <c r="H5" s="65"/>
      <c r="I5" s="1"/>
      <c r="J5" s="64"/>
      <c r="K5" s="64"/>
      <c r="L5" s="64"/>
      <c r="M5" s="1"/>
      <c r="N5" s="1"/>
    </row>
    <row r="6" spans="1:14" ht="12.75">
      <c r="A6" s="1"/>
      <c r="B6" s="1"/>
      <c r="C6" s="63"/>
      <c r="D6" s="1"/>
      <c r="E6" s="1"/>
      <c r="F6" s="64"/>
      <c r="G6" s="64"/>
      <c r="H6" s="65"/>
      <c r="I6" s="1"/>
      <c r="J6" s="64"/>
      <c r="K6" s="64"/>
      <c r="L6" s="64"/>
      <c r="M6" s="1"/>
      <c r="N6" s="1"/>
    </row>
    <row r="7" spans="1:14" ht="15.75">
      <c r="A7" s="1"/>
      <c r="C7" s="2" t="s">
        <v>45</v>
      </c>
      <c r="G7" s="64"/>
      <c r="H7" s="65"/>
      <c r="J7" s="64"/>
      <c r="K7" s="64"/>
      <c r="L7" s="64"/>
      <c r="M7" s="1"/>
      <c r="N7" s="1"/>
    </row>
    <row r="8" spans="1:14" ht="15.75">
      <c r="A8" s="1"/>
      <c r="B8" s="2"/>
      <c r="C8" s="63"/>
      <c r="D8" s="1"/>
      <c r="E8" s="1"/>
      <c r="F8" s="64"/>
      <c r="G8" s="64"/>
      <c r="H8" s="65"/>
      <c r="I8" s="1"/>
      <c r="J8" s="64"/>
      <c r="K8" s="64"/>
      <c r="L8" s="64"/>
      <c r="M8" s="1"/>
      <c r="N8" s="1"/>
    </row>
    <row r="9" spans="1:14" ht="15">
      <c r="A9" s="1"/>
      <c r="B9" s="100" t="s">
        <v>33</v>
      </c>
      <c r="C9" s="67"/>
      <c r="D9" s="66"/>
      <c r="F9" s="1"/>
      <c r="G9" s="64"/>
      <c r="H9" s="65"/>
      <c r="I9" s="1"/>
      <c r="J9" s="64"/>
      <c r="K9" s="64"/>
      <c r="L9" s="64"/>
      <c r="M9" s="1"/>
      <c r="N9" s="1"/>
    </row>
    <row r="10" spans="1:14" ht="15.75">
      <c r="A10" s="1"/>
      <c r="B10" s="66"/>
      <c r="C10" s="67"/>
      <c r="D10" s="66"/>
      <c r="E10" s="2"/>
      <c r="F10" s="1"/>
      <c r="G10" s="64"/>
      <c r="H10" s="65"/>
      <c r="I10" s="1"/>
      <c r="J10" s="64"/>
      <c r="K10" s="64"/>
      <c r="L10" s="64"/>
      <c r="M10" s="1"/>
      <c r="N10" s="1"/>
    </row>
    <row r="11" spans="1:14" ht="12.75">
      <c r="A11" s="1"/>
      <c r="B11" s="1"/>
      <c r="C11" s="63"/>
      <c r="D11" s="1"/>
      <c r="E11" s="1"/>
      <c r="F11" s="64"/>
      <c r="G11" s="64"/>
      <c r="H11" s="65"/>
      <c r="I11" s="1"/>
      <c r="J11" s="64"/>
      <c r="K11" s="64"/>
      <c r="L11" s="64"/>
      <c r="M11" s="1"/>
      <c r="N11" s="1"/>
    </row>
    <row r="12" spans="1:14" ht="12.75">
      <c r="A12" s="1"/>
      <c r="B12" s="68"/>
      <c r="C12" s="69" t="s">
        <v>75</v>
      </c>
      <c r="D12" s="1"/>
      <c r="E12" s="1"/>
      <c r="F12" s="64"/>
      <c r="G12" s="1"/>
      <c r="H12" s="1"/>
      <c r="I12" s="1"/>
      <c r="J12" s="64"/>
      <c r="K12" s="64"/>
      <c r="L12" s="1"/>
      <c r="M12" s="1"/>
      <c r="N12" s="1"/>
    </row>
    <row r="13" spans="1:14" ht="12.75">
      <c r="A13" s="1"/>
      <c r="B13" s="1"/>
      <c r="C13" s="63"/>
      <c r="D13" s="1"/>
      <c r="E13" s="1"/>
      <c r="F13" s="64"/>
      <c r="G13" s="64"/>
      <c r="H13" s="65"/>
      <c r="I13" s="1"/>
      <c r="J13" s="64"/>
      <c r="K13" s="64"/>
      <c r="L13" s="64"/>
      <c r="M13" s="1"/>
      <c r="N13" s="1"/>
    </row>
    <row r="14" spans="1:14" ht="12.75">
      <c r="A14" s="1"/>
      <c r="B14" s="70"/>
      <c r="C14" s="3" t="s">
        <v>77</v>
      </c>
      <c r="D14" s="1"/>
      <c r="E14" s="1"/>
      <c r="F14" s="64"/>
      <c r="G14" s="64"/>
      <c r="H14" s="65"/>
      <c r="I14" s="1"/>
      <c r="J14" s="64"/>
      <c r="K14" s="64"/>
      <c r="L14" s="64"/>
      <c r="M14" s="1"/>
      <c r="N14" s="1"/>
    </row>
    <row r="15" spans="1:14" ht="12.75">
      <c r="A15" s="1"/>
      <c r="B15" s="1"/>
      <c r="C15" s="69" t="s">
        <v>44</v>
      </c>
      <c r="D15" s="1"/>
      <c r="E15" s="1"/>
      <c r="F15" s="64"/>
      <c r="G15" s="64"/>
      <c r="H15" s="65"/>
      <c r="I15" s="1"/>
      <c r="J15" s="64"/>
      <c r="K15" s="64"/>
      <c r="L15" s="64"/>
      <c r="M15" s="1"/>
      <c r="N15" s="1"/>
    </row>
    <row r="16" spans="1:14" ht="12.75">
      <c r="A16" s="4"/>
      <c r="B16" s="4"/>
      <c r="C16" s="4"/>
      <c r="D16" s="4"/>
      <c r="E16" s="4"/>
      <c r="F16" s="71"/>
      <c r="G16" s="71"/>
      <c r="H16" s="71"/>
      <c r="I16" s="1"/>
      <c r="J16" s="96" t="s">
        <v>34</v>
      </c>
      <c r="K16" s="97"/>
      <c r="L16" s="72"/>
      <c r="M16" s="1"/>
      <c r="N16" s="1"/>
    </row>
    <row r="17" spans="1:14" ht="12.75">
      <c r="A17" s="1"/>
      <c r="B17" s="73" t="s">
        <v>35</v>
      </c>
      <c r="C17" s="73" t="s">
        <v>36</v>
      </c>
      <c r="D17" s="73" t="s">
        <v>0</v>
      </c>
      <c r="E17" s="73" t="s">
        <v>1</v>
      </c>
      <c r="F17" s="73" t="s">
        <v>2</v>
      </c>
      <c r="G17" s="73" t="s">
        <v>3</v>
      </c>
      <c r="H17" s="74" t="s">
        <v>79</v>
      </c>
      <c r="I17" s="74" t="s">
        <v>80</v>
      </c>
      <c r="J17" s="74" t="s">
        <v>37</v>
      </c>
      <c r="K17" s="74" t="s">
        <v>38</v>
      </c>
      <c r="L17" s="73" t="s">
        <v>39</v>
      </c>
      <c r="M17" s="1"/>
      <c r="N17" s="1"/>
    </row>
    <row r="18" spans="1:14" ht="12.75">
      <c r="A18" s="1"/>
      <c r="B18" s="75">
        <v>5</v>
      </c>
      <c r="C18" s="76">
        <v>200000</v>
      </c>
      <c r="D18" s="95">
        <v>200000</v>
      </c>
      <c r="E18" s="75">
        <v>5000</v>
      </c>
      <c r="F18" s="75">
        <v>5000</v>
      </c>
      <c r="G18" s="95">
        <v>200000</v>
      </c>
      <c r="H18" s="77">
        <v>1.2</v>
      </c>
      <c r="I18" s="77">
        <v>1.1</v>
      </c>
      <c r="J18" s="78">
        <f>($C$18/(1+$C$18*$E$18/($E$18+$D$18)))*$D$18/($D$18+$E$18)</f>
        <v>39.99180168065546</v>
      </c>
      <c r="K18" s="78">
        <f>($C$18/(1+$C$18*$E$18/($E$18+$D$18)))*$G$18/($G$18+$F$18)</f>
        <v>39.99180168065546</v>
      </c>
      <c r="L18" s="78">
        <f>K18*I18-H18*J18</f>
        <v>-3.9991801680655428</v>
      </c>
      <c r="M18" s="1"/>
      <c r="N18" s="1"/>
    </row>
    <row r="19" spans="1:14" ht="12.75">
      <c r="A19" s="79"/>
      <c r="B19" s="80"/>
      <c r="C19" s="63"/>
      <c r="D19" s="1"/>
      <c r="E19" s="1"/>
      <c r="F19" s="64"/>
      <c r="G19" s="64"/>
      <c r="H19" s="65"/>
      <c r="I19" s="81"/>
      <c r="J19" s="64"/>
      <c r="K19" s="64"/>
      <c r="L19" s="64"/>
      <c r="M19" s="1"/>
      <c r="N19" s="1"/>
    </row>
    <row r="20" spans="1:14" ht="12.75">
      <c r="A20" s="9"/>
      <c r="B20" s="82"/>
      <c r="C20" s="4"/>
      <c r="D20" s="1"/>
      <c r="E20" s="1"/>
      <c r="F20" s="64" t="s">
        <v>40</v>
      </c>
      <c r="G20" s="64"/>
      <c r="H20" s="65"/>
      <c r="I20" s="1"/>
      <c r="J20" s="64"/>
      <c r="K20" s="64"/>
      <c r="L20" s="64"/>
      <c r="M20" s="1"/>
      <c r="N20" s="1"/>
    </row>
    <row r="21" spans="1:14" ht="12.75">
      <c r="A21" s="4"/>
      <c r="B21" s="4"/>
      <c r="C21" s="4"/>
      <c r="D21" s="1"/>
      <c r="E21" s="73" t="s">
        <v>37</v>
      </c>
      <c r="F21" s="64"/>
      <c r="G21" s="64"/>
      <c r="H21" s="65"/>
      <c r="I21" s="73" t="s">
        <v>38</v>
      </c>
      <c r="J21" s="98" t="s">
        <v>41</v>
      </c>
      <c r="K21" s="83" t="s">
        <v>42</v>
      </c>
      <c r="L21" s="84"/>
      <c r="M21" s="80"/>
      <c r="N21" s="1"/>
    </row>
    <row r="22" spans="1:14" ht="12.75">
      <c r="A22" s="4"/>
      <c r="B22" s="85" t="s">
        <v>4</v>
      </c>
      <c r="C22" s="86" t="s">
        <v>5</v>
      </c>
      <c r="D22" s="73" t="s">
        <v>37</v>
      </c>
      <c r="E22" s="87" t="s">
        <v>43</v>
      </c>
      <c r="F22" s="86" t="s">
        <v>6</v>
      </c>
      <c r="G22" s="86" t="s">
        <v>7</v>
      </c>
      <c r="H22" s="73" t="s">
        <v>38</v>
      </c>
      <c r="I22" s="87" t="s">
        <v>43</v>
      </c>
      <c r="J22" s="87" t="s">
        <v>39</v>
      </c>
      <c r="K22" s="88" t="s">
        <v>43</v>
      </c>
      <c r="L22" s="89" t="s">
        <v>43</v>
      </c>
      <c r="M22" s="90"/>
      <c r="N22" s="4"/>
    </row>
    <row r="23" spans="1:14" ht="13.5" thickBot="1">
      <c r="A23" s="4"/>
      <c r="B23" s="5">
        <f aca="true" ca="1" t="shared" si="0" ref="B23:B49">(1+((1-2*RAND())*$B$18/100))*$D$18</f>
        <v>202831.10110231926</v>
      </c>
      <c r="C23" s="5">
        <f aca="true" ca="1" t="shared" si="1" ref="C23:C49">(1+((1-2*RAND())*$B$18/100))*$E$18</f>
        <v>4845.14575308294</v>
      </c>
      <c r="D23" s="91">
        <f>$C$18/(1+$C$18*C23/(C23+B23))*B23/(B23+C23)</f>
        <v>41.85377515187963</v>
      </c>
      <c r="E23" s="91">
        <f>100*(+D23-$J$18)/$J$18</f>
        <v>4.655887939464423</v>
      </c>
      <c r="F23" s="5">
        <f aca="true" ca="1" t="shared" si="2" ref="F23:F49">(1+((1-2*RAND())*$B$18/100))*$F$18</f>
        <v>5163.004072327808</v>
      </c>
      <c r="G23" s="5">
        <f aca="true" ca="1" t="shared" si="3" ref="G23:G49">(1+((1-2*RAND())*$B$18/100))*$G$18</f>
        <v>200017.3858774965</v>
      </c>
      <c r="H23" s="91">
        <f aca="true" t="shared" si="4" ref="H23:H49">$C$18/(1+$C$18*C23/(C23+B23))*G23/(F23+G23)</f>
        <v>41.77522630535483</v>
      </c>
      <c r="I23" s="91">
        <f>100*(+H23-$K$18)/$K$18</f>
        <v>4.459475566868569</v>
      </c>
      <c r="J23" s="91">
        <f>$I$18*H23-$H$18*D23</f>
        <v>-4.271781246365244</v>
      </c>
      <c r="K23" s="91">
        <f>100*(J23-$L$18)/$L$18</f>
        <v>6.816424038018813</v>
      </c>
      <c r="L23" s="92" t="s">
        <v>14</v>
      </c>
      <c r="M23" s="4"/>
      <c r="N23" s="4"/>
    </row>
    <row r="24" spans="1:14" ht="12.75">
      <c r="A24" s="4"/>
      <c r="B24" s="5">
        <f ca="1" t="shared" si="0"/>
        <v>202394.24318581322</v>
      </c>
      <c r="C24" s="5">
        <f ca="1" t="shared" si="1"/>
        <v>5152.343500619046</v>
      </c>
      <c r="D24" s="91">
        <f aca="true" t="shared" si="5" ref="D24:D49">B24/C24</f>
        <v>39.281977834260445</v>
      </c>
      <c r="E24" s="91">
        <f aca="true" t="shared" si="6" ref="E24:E49">100*(+D24-$J$18)/$J$18</f>
        <v>-1.774923400708823</v>
      </c>
      <c r="F24" s="5">
        <f ca="1" t="shared" si="2"/>
        <v>5221.153732741379</v>
      </c>
      <c r="G24" s="5">
        <f ca="1" t="shared" si="3"/>
        <v>209635.78787183686</v>
      </c>
      <c r="H24" s="91">
        <f t="shared" si="4"/>
        <v>39.295186951174784</v>
      </c>
      <c r="I24" s="91">
        <f>100*(+H24-$K$18)/$K$18</f>
        <v>-1.741893838750556</v>
      </c>
      <c r="J24" s="91">
        <f aca="true" t="shared" si="7" ref="J24:J49">$I$18*H24-$H$18*D24</f>
        <v>-3.913667754820267</v>
      </c>
      <c r="K24" s="91">
        <f aca="true" t="shared" si="8" ref="K24:K49">100*(J24-$L$18)/$L$18</f>
        <v>-2.1382485822497794</v>
      </c>
      <c r="L24" s="93">
        <f>MAX(K23:K49)</f>
        <v>8.112876351651755</v>
      </c>
      <c r="M24" s="4"/>
      <c r="N24" s="4"/>
    </row>
    <row r="25" spans="1:14" ht="13.5" thickBot="1">
      <c r="A25" s="4"/>
      <c r="B25" s="5">
        <f ca="1" t="shared" si="0"/>
        <v>203207.8710575503</v>
      </c>
      <c r="C25" s="5">
        <f ca="1" t="shared" si="1"/>
        <v>4840.56469405116</v>
      </c>
      <c r="D25" s="91">
        <f t="shared" si="5"/>
        <v>41.980199398488324</v>
      </c>
      <c r="E25" s="91">
        <f t="shared" si="6"/>
        <v>4.972013348412541</v>
      </c>
      <c r="F25" s="5">
        <f ca="1" t="shared" si="2"/>
        <v>4942.241931269791</v>
      </c>
      <c r="G25" s="5">
        <f ca="1" t="shared" si="3"/>
        <v>200275.11620173618</v>
      </c>
      <c r="H25" s="91">
        <f t="shared" si="4"/>
        <v>41.93609676101229</v>
      </c>
      <c r="I25" s="91">
        <f aca="true" t="shared" si="9" ref="I25:I49">100*(+H25-$K$18)/$K$18</f>
        <v>4.861734152120743</v>
      </c>
      <c r="J25" s="91">
        <f t="shared" si="7"/>
        <v>-4.246532841072465</v>
      </c>
      <c r="K25" s="91">
        <f t="shared" si="8"/>
        <v>6.185084507622227</v>
      </c>
      <c r="L25" s="20" t="s">
        <v>15</v>
      </c>
      <c r="M25" s="4"/>
      <c r="N25" s="4"/>
    </row>
    <row r="26" spans="1:14" ht="12.75">
      <c r="A26" s="1"/>
      <c r="B26" s="5">
        <f ca="1" t="shared" si="0"/>
        <v>194124.89571832403</v>
      </c>
      <c r="C26" s="5">
        <f ca="1" t="shared" si="1"/>
        <v>4921.541470918741</v>
      </c>
      <c r="D26" s="91">
        <f t="shared" si="5"/>
        <v>39.44392155697619</v>
      </c>
      <c r="E26" s="91">
        <f t="shared" si="6"/>
        <v>-1.369981097761562</v>
      </c>
      <c r="F26" s="5">
        <f ca="1" t="shared" si="2"/>
        <v>5196.715836288978</v>
      </c>
      <c r="G26" s="5">
        <f ca="1" t="shared" si="3"/>
        <v>196374.30966026388</v>
      </c>
      <c r="H26" s="91">
        <f t="shared" si="4"/>
        <v>39.39326806999228</v>
      </c>
      <c r="I26" s="91">
        <f t="shared" si="9"/>
        <v>-1.49664077513342</v>
      </c>
      <c r="J26" s="91">
        <f t="shared" si="7"/>
        <v>-4.000110991379913</v>
      </c>
      <c r="K26" s="91">
        <f t="shared" si="8"/>
        <v>0.02327535332873338</v>
      </c>
      <c r="L26" s="94">
        <f>MIN(K23:K49)</f>
        <v>-8.71491073951969</v>
      </c>
      <c r="M26" s="4"/>
      <c r="N26" s="1" t="s">
        <v>40</v>
      </c>
    </row>
    <row r="27" spans="1:14" ht="12.75">
      <c r="A27" s="1"/>
      <c r="B27" s="5">
        <f ca="1" t="shared" si="0"/>
        <v>192768.24540152997</v>
      </c>
      <c r="C27" s="5">
        <f ca="1" t="shared" si="1"/>
        <v>5169.730665882806</v>
      </c>
      <c r="D27" s="91">
        <f t="shared" si="5"/>
        <v>37.28787007680835</v>
      </c>
      <c r="E27" s="91">
        <f t="shared" si="6"/>
        <v>-6.761214774564747</v>
      </c>
      <c r="F27" s="5">
        <f ca="1" t="shared" si="2"/>
        <v>4897.2637414693945</v>
      </c>
      <c r="G27" s="5">
        <f ca="1" t="shared" si="3"/>
        <v>192711.54842578748</v>
      </c>
      <c r="H27" s="91">
        <f t="shared" si="4"/>
        <v>37.33184962662651</v>
      </c>
      <c r="I27" s="91">
        <f t="shared" si="9"/>
        <v>-6.651243360500081</v>
      </c>
      <c r="J27" s="91">
        <f t="shared" si="7"/>
        <v>-3.680409502880863</v>
      </c>
      <c r="K27" s="91">
        <f t="shared" si="8"/>
        <v>-7.970900329276068</v>
      </c>
      <c r="L27" s="71"/>
      <c r="M27" s="4"/>
      <c r="N27" s="1"/>
    </row>
    <row r="28" spans="1:14" ht="12.75">
      <c r="A28" s="1"/>
      <c r="B28" s="5">
        <f ca="1" t="shared" si="0"/>
        <v>195221.8949975576</v>
      </c>
      <c r="C28" s="5">
        <f ca="1" t="shared" si="1"/>
        <v>5237.5507800503965</v>
      </c>
      <c r="D28" s="91">
        <f t="shared" si="5"/>
        <v>37.27350878222495</v>
      </c>
      <c r="E28" s="91">
        <f t="shared" si="6"/>
        <v>-6.797125371186727</v>
      </c>
      <c r="F28" s="5">
        <f ca="1" t="shared" si="2"/>
        <v>5183.156032396485</v>
      </c>
      <c r="G28" s="5">
        <f ca="1" t="shared" si="3"/>
        <v>190004.23101326707</v>
      </c>
      <c r="H28" s="91">
        <f t="shared" si="4"/>
        <v>37.250036138455805</v>
      </c>
      <c r="I28" s="91">
        <f t="shared" si="9"/>
        <v>-6.855819010339524</v>
      </c>
      <c r="J28" s="91">
        <f t="shared" si="7"/>
        <v>-3.7531707863685497</v>
      </c>
      <c r="K28" s="91">
        <f t="shared" si="8"/>
        <v>-6.151495340506029</v>
      </c>
      <c r="L28" s="71"/>
      <c r="M28" s="4"/>
      <c r="N28" s="1"/>
    </row>
    <row r="29" spans="1:14" ht="12.75">
      <c r="A29" s="1"/>
      <c r="B29" s="5">
        <f ca="1" t="shared" si="0"/>
        <v>209599.95657463706</v>
      </c>
      <c r="C29" s="5">
        <f ca="1" t="shared" si="1"/>
        <v>4909.260326078237</v>
      </c>
      <c r="D29" s="91">
        <f t="shared" si="5"/>
        <v>42.69481401530727</v>
      </c>
      <c r="E29" s="91">
        <f t="shared" si="6"/>
        <v>6.758916130451034</v>
      </c>
      <c r="F29" s="5">
        <f ca="1" t="shared" si="2"/>
        <v>4801.480828253747</v>
      </c>
      <c r="G29" s="5">
        <f ca="1" t="shared" si="3"/>
        <v>196946.9795105519</v>
      </c>
      <c r="H29" s="91">
        <f t="shared" si="4"/>
        <v>42.64558918926204</v>
      </c>
      <c r="I29" s="91">
        <f t="shared" si="9"/>
        <v>6.635828837614603</v>
      </c>
      <c r="J29" s="91">
        <f t="shared" si="7"/>
        <v>-4.323628710180479</v>
      </c>
      <c r="K29" s="91">
        <f t="shared" si="8"/>
        <v>8.112876351651755</v>
      </c>
      <c r="L29" s="71"/>
      <c r="M29" s="4"/>
      <c r="N29" s="1"/>
    </row>
    <row r="30" spans="1:14" ht="12.75">
      <c r="A30" s="1"/>
      <c r="B30" s="5">
        <f ca="1" t="shared" si="0"/>
        <v>194868.8201577119</v>
      </c>
      <c r="C30" s="5">
        <f ca="1" t="shared" si="1"/>
        <v>5184.602116281839</v>
      </c>
      <c r="D30" s="91">
        <f t="shared" si="5"/>
        <v>37.58607040369434</v>
      </c>
      <c r="E30" s="91">
        <f t="shared" si="6"/>
        <v>-6.0155611296822435</v>
      </c>
      <c r="F30" s="5">
        <f ca="1" t="shared" si="2"/>
        <v>4959.934316650654</v>
      </c>
      <c r="G30" s="5">
        <f ca="1" t="shared" si="3"/>
        <v>202456.2288883684</v>
      </c>
      <c r="H30" s="91">
        <f t="shared" si="4"/>
        <v>37.656098259404864</v>
      </c>
      <c r="I30" s="91">
        <f t="shared" si="9"/>
        <v>-5.840455601129889</v>
      </c>
      <c r="J30" s="91">
        <f t="shared" si="7"/>
        <v>-3.6815763990878594</v>
      </c>
      <c r="K30" s="91">
        <f t="shared" si="8"/>
        <v>-7.941721943758103</v>
      </c>
      <c r="L30" s="71"/>
      <c r="M30" s="4"/>
      <c r="N30" s="1"/>
    </row>
    <row r="31" spans="1:14" ht="12.75">
      <c r="A31" s="1"/>
      <c r="B31" s="5">
        <f ca="1" t="shared" si="0"/>
        <v>201717.8048653412</v>
      </c>
      <c r="C31" s="5">
        <f ca="1" t="shared" si="1"/>
        <v>5226.774117566606</v>
      </c>
      <c r="D31" s="91">
        <f t="shared" si="5"/>
        <v>38.59317436110164</v>
      </c>
      <c r="E31" s="91">
        <f t="shared" si="6"/>
        <v>-3.4972850953858328</v>
      </c>
      <c r="F31" s="5">
        <f ca="1" t="shared" si="2"/>
        <v>4805.650164506291</v>
      </c>
      <c r="G31" s="5">
        <f ca="1" t="shared" si="3"/>
        <v>206335.04251568887</v>
      </c>
      <c r="H31" s="91">
        <f t="shared" si="4"/>
        <v>38.68435902816068</v>
      </c>
      <c r="I31" s="91">
        <f t="shared" si="9"/>
        <v>-3.2692766955963672</v>
      </c>
      <c r="J31" s="91">
        <f t="shared" si="7"/>
        <v>-3.7590143023452143</v>
      </c>
      <c r="K31" s="91">
        <f t="shared" si="8"/>
        <v>-6.005377493070035</v>
      </c>
      <c r="L31" s="71"/>
      <c r="M31" s="4"/>
      <c r="N31" s="1"/>
    </row>
    <row r="32" spans="1:14" ht="12.75">
      <c r="A32" s="1"/>
      <c r="B32" s="5">
        <f ca="1" t="shared" si="0"/>
        <v>197472.0173369219</v>
      </c>
      <c r="C32" s="5">
        <f ca="1" t="shared" si="1"/>
        <v>5048.828272470566</v>
      </c>
      <c r="D32" s="91">
        <f t="shared" si="5"/>
        <v>39.112444844611844</v>
      </c>
      <c r="E32" s="91">
        <f t="shared" si="6"/>
        <v>-2.198842760487522</v>
      </c>
      <c r="F32" s="5">
        <f ca="1" t="shared" si="2"/>
        <v>4986.440529235065</v>
      </c>
      <c r="G32" s="5">
        <f ca="1" t="shared" si="3"/>
        <v>208455.72590990426</v>
      </c>
      <c r="H32" s="91">
        <f t="shared" si="4"/>
        <v>39.16748151952605</v>
      </c>
      <c r="I32" s="91">
        <f t="shared" si="9"/>
        <v>-2.061222866906114</v>
      </c>
      <c r="J32" s="91">
        <f t="shared" si="7"/>
        <v>-3.850704142055548</v>
      </c>
      <c r="K32" s="91">
        <f t="shared" si="8"/>
        <v>-3.712661589883171</v>
      </c>
      <c r="L32" s="71"/>
      <c r="M32" s="4"/>
      <c r="N32" s="1" t="s">
        <v>40</v>
      </c>
    </row>
    <row r="33" spans="1:14" ht="12.75">
      <c r="A33" s="1"/>
      <c r="B33" s="5">
        <f ca="1" t="shared" si="0"/>
        <v>208389.0732420489</v>
      </c>
      <c r="C33" s="5">
        <f ca="1" t="shared" si="1"/>
        <v>5080.981100736285</v>
      </c>
      <c r="D33" s="91">
        <f t="shared" si="5"/>
        <v>41.01355016098195</v>
      </c>
      <c r="E33" s="91">
        <f t="shared" si="6"/>
        <v>2.554894846912384</v>
      </c>
      <c r="F33" s="5">
        <f ca="1" t="shared" si="2"/>
        <v>5080.455604497757</v>
      </c>
      <c r="G33" s="5">
        <f ca="1" t="shared" si="3"/>
        <v>204861.77016232358</v>
      </c>
      <c r="H33" s="91">
        <f t="shared" si="4"/>
        <v>40.98824120874762</v>
      </c>
      <c r="I33" s="91">
        <f t="shared" si="9"/>
        <v>2.4916094954885315</v>
      </c>
      <c r="J33" s="91">
        <f t="shared" si="7"/>
        <v>-4.129194863555952</v>
      </c>
      <c r="K33" s="91">
        <f t="shared" si="8"/>
        <v>3.2510337125746247</v>
      </c>
      <c r="L33" s="71"/>
      <c r="M33" s="4"/>
      <c r="N33" s="1"/>
    </row>
    <row r="34" spans="1:14" ht="12.75">
      <c r="A34" s="1"/>
      <c r="B34" s="5">
        <f ca="1" t="shared" si="0"/>
        <v>200029.27393285334</v>
      </c>
      <c r="C34" s="5">
        <f ca="1" t="shared" si="1"/>
        <v>5218.980388488781</v>
      </c>
      <c r="D34" s="91">
        <f t="shared" si="5"/>
        <v>38.327270662684796</v>
      </c>
      <c r="E34" s="91">
        <f t="shared" si="6"/>
        <v>-4.1621806170733775</v>
      </c>
      <c r="F34" s="5">
        <f ca="1" t="shared" si="2"/>
        <v>4937.398090276015</v>
      </c>
      <c r="G34" s="5">
        <f ca="1" t="shared" si="3"/>
        <v>203272.75455285725</v>
      </c>
      <c r="H34" s="91">
        <f t="shared" si="4"/>
        <v>38.38713387046262</v>
      </c>
      <c r="I34" s="91">
        <f t="shared" si="9"/>
        <v>-4.012491917734833</v>
      </c>
      <c r="J34" s="91">
        <f t="shared" si="7"/>
        <v>-3.7668775377128725</v>
      </c>
      <c r="K34" s="91">
        <f t="shared" si="8"/>
        <v>-5.80875630979732</v>
      </c>
      <c r="L34" s="71"/>
      <c r="M34" s="4"/>
      <c r="N34" s="1"/>
    </row>
    <row r="35" spans="1:14" ht="12.75">
      <c r="A35" s="1"/>
      <c r="B35" s="5">
        <f ca="1" t="shared" si="0"/>
        <v>197917.41604822804</v>
      </c>
      <c r="C35" s="5">
        <f ca="1" t="shared" si="1"/>
        <v>4974.549801333999</v>
      </c>
      <c r="D35" s="91">
        <f t="shared" si="5"/>
        <v>39.785995507604234</v>
      </c>
      <c r="E35" s="91">
        <f t="shared" si="6"/>
        <v>-0.514620908291762</v>
      </c>
      <c r="F35" s="5">
        <f ca="1" t="shared" si="2"/>
        <v>4855.546751235973</v>
      </c>
      <c r="G35" s="5">
        <f ca="1" t="shared" si="3"/>
        <v>202716.46964769877</v>
      </c>
      <c r="H35" s="91">
        <f t="shared" si="4"/>
        <v>39.82380388223878</v>
      </c>
      <c r="I35" s="91">
        <f t="shared" si="9"/>
        <v>-0.42008059491340205</v>
      </c>
      <c r="J35" s="91">
        <f t="shared" si="7"/>
        <v>-3.937010338662418</v>
      </c>
      <c r="K35" s="91">
        <f t="shared" si="8"/>
        <v>-1.5545643554538116</v>
      </c>
      <c r="L35" s="71"/>
      <c r="M35" s="4"/>
      <c r="N35" s="1"/>
    </row>
    <row r="36" spans="1:14" ht="12.75">
      <c r="A36" s="1"/>
      <c r="B36" s="5">
        <f ca="1" t="shared" si="0"/>
        <v>192502.24343735233</v>
      </c>
      <c r="C36" s="5">
        <f ca="1" t="shared" si="1"/>
        <v>4972.346830219522</v>
      </c>
      <c r="D36" s="91">
        <f t="shared" si="5"/>
        <v>38.71456477400504</v>
      </c>
      <c r="E36" s="91">
        <f t="shared" si="6"/>
        <v>-3.1937468505407147</v>
      </c>
      <c r="F36" s="5">
        <f ca="1" t="shared" si="2"/>
        <v>5088.390206017853</v>
      </c>
      <c r="G36" s="5">
        <f ca="1" t="shared" si="3"/>
        <v>200306.25823727122</v>
      </c>
      <c r="H36" s="91">
        <f t="shared" si="4"/>
        <v>38.722997796776866</v>
      </c>
      <c r="I36" s="91">
        <f t="shared" si="9"/>
        <v>-3.1726599716869806</v>
      </c>
      <c r="J36" s="91">
        <f t="shared" si="7"/>
        <v>-3.862180152351492</v>
      </c>
      <c r="K36" s="91">
        <f t="shared" si="8"/>
        <v>-3.425702517931812</v>
      </c>
      <c r="L36" s="71"/>
      <c r="M36" s="1"/>
      <c r="N36" s="1"/>
    </row>
    <row r="37" spans="1:14" ht="12.75">
      <c r="A37" s="1"/>
      <c r="B37" s="5">
        <f ca="1" t="shared" si="0"/>
        <v>208815.3179470653</v>
      </c>
      <c r="C37" s="5">
        <f ca="1" t="shared" si="1"/>
        <v>5029.5617601515805</v>
      </c>
      <c r="D37" s="91">
        <f t="shared" si="5"/>
        <v>41.517596940846005</v>
      </c>
      <c r="E37" s="91">
        <f t="shared" si="6"/>
        <v>3.815270120547202</v>
      </c>
      <c r="F37" s="5">
        <f ca="1" t="shared" si="2"/>
        <v>4874.56246923228</v>
      </c>
      <c r="G37" s="5">
        <f ca="1" t="shared" si="3"/>
        <v>191011.01812837485</v>
      </c>
      <c r="H37" s="91">
        <f t="shared" si="4"/>
        <v>41.450745507448026</v>
      </c>
      <c r="I37" s="91">
        <f t="shared" si="9"/>
        <v>3.648107275692639</v>
      </c>
      <c r="J37" s="91">
        <f t="shared" si="7"/>
        <v>-4.225296270822369</v>
      </c>
      <c r="K37" s="91">
        <f t="shared" si="8"/>
        <v>5.654061413947293</v>
      </c>
      <c r="L37" s="71"/>
      <c r="M37" s="1"/>
      <c r="N37" s="1"/>
    </row>
    <row r="38" spans="1:14" ht="12.75">
      <c r="A38" s="1"/>
      <c r="B38" s="5">
        <f ca="1" t="shared" si="0"/>
        <v>205987.92839943728</v>
      </c>
      <c r="C38" s="5">
        <f ca="1" t="shared" si="1"/>
        <v>5061.017753967008</v>
      </c>
      <c r="D38" s="91">
        <f t="shared" si="5"/>
        <v>40.70089029780157</v>
      </c>
      <c r="E38" s="91">
        <f t="shared" si="6"/>
        <v>1.7730849507815574</v>
      </c>
      <c r="F38" s="5">
        <f ca="1" t="shared" si="2"/>
        <v>5060.2927629834185</v>
      </c>
      <c r="G38" s="5">
        <f ca="1" t="shared" si="3"/>
        <v>203218.270873691</v>
      </c>
      <c r="H38" s="91">
        <f t="shared" si="4"/>
        <v>40.679252315136516</v>
      </c>
      <c r="I38" s="91">
        <f t="shared" si="9"/>
        <v>1.7189789046528035</v>
      </c>
      <c r="J38" s="91">
        <f t="shared" si="7"/>
        <v>-4.093890810711713</v>
      </c>
      <c r="K38" s="91">
        <f t="shared" si="8"/>
        <v>2.368251458197817</v>
      </c>
      <c r="L38" s="71"/>
      <c r="M38" s="1"/>
      <c r="N38" s="1"/>
    </row>
    <row r="39" spans="1:14" ht="12.75">
      <c r="A39" s="1"/>
      <c r="B39" s="5">
        <f ca="1" t="shared" si="0"/>
        <v>201880.85066827983</v>
      </c>
      <c r="C39" s="5">
        <f ca="1" t="shared" si="1"/>
        <v>5091.554086627299</v>
      </c>
      <c r="D39" s="91">
        <f t="shared" si="5"/>
        <v>39.650143597317246</v>
      </c>
      <c r="E39" s="91">
        <f t="shared" si="6"/>
        <v>-0.8543203081132534</v>
      </c>
      <c r="F39" s="5">
        <f ca="1" t="shared" si="2"/>
        <v>4817.398094008142</v>
      </c>
      <c r="G39" s="5">
        <f ca="1" t="shared" si="3"/>
        <v>207607.87317623058</v>
      </c>
      <c r="H39" s="91">
        <f t="shared" si="4"/>
        <v>39.72020307628207</v>
      </c>
      <c r="I39" s="91">
        <f t="shared" si="9"/>
        <v>-0.6791357052182286</v>
      </c>
      <c r="J39" s="91">
        <f t="shared" si="7"/>
        <v>-3.8879489328704153</v>
      </c>
      <c r="K39" s="91">
        <f t="shared" si="8"/>
        <v>-2.781350939958564</v>
      </c>
      <c r="L39" s="71"/>
      <c r="M39" s="1"/>
      <c r="N39" s="1"/>
    </row>
    <row r="40" spans="1:14" ht="12.75">
      <c r="A40" s="1"/>
      <c r="B40" s="5">
        <f ca="1" t="shared" si="0"/>
        <v>207459.8404728758</v>
      </c>
      <c r="C40" s="5">
        <f ca="1" t="shared" si="1"/>
        <v>5185.245103300256</v>
      </c>
      <c r="D40" s="91">
        <f t="shared" si="5"/>
        <v>40.00964975422931</v>
      </c>
      <c r="E40" s="91">
        <f t="shared" si="6"/>
        <v>0.04462933107231824</v>
      </c>
      <c r="F40" s="5">
        <f ca="1" t="shared" si="2"/>
        <v>5151.6848811309055</v>
      </c>
      <c r="G40" s="5">
        <f ca="1" t="shared" si="3"/>
        <v>198866.7441131499</v>
      </c>
      <c r="H40" s="91">
        <f t="shared" si="4"/>
        <v>39.965917025190755</v>
      </c>
      <c r="I40" s="91">
        <f t="shared" si="9"/>
        <v>-0.06472490454769532</v>
      </c>
      <c r="J40" s="91">
        <f t="shared" si="7"/>
        <v>-4.049070977365339</v>
      </c>
      <c r="K40" s="91">
        <f t="shared" si="8"/>
        <v>1.2475259228925752</v>
      </c>
      <c r="L40" s="71"/>
      <c r="M40" s="1"/>
      <c r="N40" s="1"/>
    </row>
    <row r="41" spans="1:14" ht="12.75">
      <c r="A41" s="1"/>
      <c r="B41" s="5">
        <f ca="1" t="shared" si="0"/>
        <v>191689.52661304182</v>
      </c>
      <c r="C41" s="5">
        <f ca="1" t="shared" si="1"/>
        <v>5075.338346570138</v>
      </c>
      <c r="D41" s="91">
        <f t="shared" si="5"/>
        <v>37.7688172735486</v>
      </c>
      <c r="E41" s="91">
        <f t="shared" si="6"/>
        <v>-5.558600297275802</v>
      </c>
      <c r="F41" s="5">
        <f ca="1" t="shared" si="2"/>
        <v>5176.895520680511</v>
      </c>
      <c r="G41" s="5">
        <f ca="1" t="shared" si="3"/>
        <v>198614.32668372133</v>
      </c>
      <c r="H41" s="91">
        <f t="shared" si="4"/>
        <v>37.77665268111783</v>
      </c>
      <c r="I41" s="91">
        <f t="shared" si="9"/>
        <v>-5.539007762706344</v>
      </c>
      <c r="J41" s="91">
        <f t="shared" si="7"/>
        <v>-3.7682627790286958</v>
      </c>
      <c r="K41" s="91">
        <f t="shared" si="8"/>
        <v>-5.774118177539994</v>
      </c>
      <c r="L41" s="71"/>
      <c r="M41" s="1"/>
      <c r="N41" s="1"/>
    </row>
    <row r="42" spans="1:14" ht="12.75">
      <c r="A42" s="1"/>
      <c r="B42" s="5">
        <f ca="1" t="shared" si="0"/>
        <v>194752.94153789702</v>
      </c>
      <c r="C42" s="5">
        <f ca="1" t="shared" si="1"/>
        <v>5228.691017924697</v>
      </c>
      <c r="D42" s="91">
        <f t="shared" si="5"/>
        <v>37.2469784254331</v>
      </c>
      <c r="E42" s="91">
        <f t="shared" si="6"/>
        <v>-6.863464859974213</v>
      </c>
      <c r="F42" s="5">
        <f ca="1" t="shared" si="2"/>
        <v>5225.199165242498</v>
      </c>
      <c r="G42" s="5">
        <f ca="1" t="shared" si="3"/>
        <v>204412.30368665204</v>
      </c>
      <c r="H42" s="91">
        <f t="shared" si="4"/>
        <v>37.28654484470013</v>
      </c>
      <c r="I42" s="91">
        <f t="shared" si="9"/>
        <v>-6.764528534016758</v>
      </c>
      <c r="J42" s="91">
        <f t="shared" si="7"/>
        <v>-3.6811747813495757</v>
      </c>
      <c r="K42" s="91">
        <f t="shared" si="8"/>
        <v>-7.951764445506105</v>
      </c>
      <c r="L42" s="71"/>
      <c r="M42" s="1"/>
      <c r="N42" s="1"/>
    </row>
    <row r="43" spans="1:14" ht="12.75">
      <c r="A43" s="1"/>
      <c r="B43" s="5">
        <f ca="1" t="shared" si="0"/>
        <v>195168.1962304939</v>
      </c>
      <c r="C43" s="5">
        <f ca="1" t="shared" si="1"/>
        <v>5188.573960737783</v>
      </c>
      <c r="D43" s="91">
        <f t="shared" si="5"/>
        <v>37.614997436163016</v>
      </c>
      <c r="E43" s="91">
        <f t="shared" si="6"/>
        <v>-5.943228723406421</v>
      </c>
      <c r="F43" s="5">
        <f ca="1" t="shared" si="2"/>
        <v>4791.094018380809</v>
      </c>
      <c r="G43" s="5">
        <f ca="1" t="shared" si="3"/>
        <v>202628.63968035183</v>
      </c>
      <c r="H43" s="91">
        <f t="shared" si="4"/>
        <v>37.71576521571778</v>
      </c>
      <c r="I43" s="91">
        <f t="shared" si="9"/>
        <v>-5.691257631032487</v>
      </c>
      <c r="J43" s="91">
        <f t="shared" si="7"/>
        <v>-3.650655186106057</v>
      </c>
      <c r="K43" s="91">
        <f t="shared" si="8"/>
        <v>-8.71491073951969</v>
      </c>
      <c r="L43" s="71"/>
      <c r="M43" s="1"/>
      <c r="N43" s="1"/>
    </row>
    <row r="44" spans="1:14" ht="12.75">
      <c r="A44" s="1"/>
      <c r="B44" s="5">
        <f ca="1" t="shared" si="0"/>
        <v>191151.00101909693</v>
      </c>
      <c r="C44" s="5">
        <f ca="1" t="shared" si="1"/>
        <v>4989.856882041083</v>
      </c>
      <c r="D44" s="91">
        <f t="shared" si="5"/>
        <v>38.307912538947875</v>
      </c>
      <c r="E44" s="91">
        <f t="shared" si="6"/>
        <v>-4.210585847454096</v>
      </c>
      <c r="F44" s="5">
        <f ca="1" t="shared" si="2"/>
        <v>4860.227495923097</v>
      </c>
      <c r="G44" s="5">
        <f ca="1" t="shared" si="3"/>
        <v>209754.46855104744</v>
      </c>
      <c r="H44" s="91">
        <f t="shared" si="4"/>
        <v>38.410184875495624</v>
      </c>
      <c r="I44" s="91">
        <f t="shared" si="9"/>
        <v>-3.9548525915122434</v>
      </c>
      <c r="J44" s="91">
        <f t="shared" si="7"/>
        <v>-3.7182916836922573</v>
      </c>
      <c r="K44" s="91">
        <f t="shared" si="8"/>
        <v>-7.023651662814557</v>
      </c>
      <c r="L44" s="71"/>
      <c r="M44" s="1"/>
      <c r="N44" s="1"/>
    </row>
    <row r="45" spans="1:14" ht="12.75">
      <c r="A45" s="1"/>
      <c r="B45" s="5">
        <f ca="1" t="shared" si="0"/>
        <v>199355.04529318502</v>
      </c>
      <c r="C45" s="5">
        <f ca="1" t="shared" si="1"/>
        <v>5073.932342901164</v>
      </c>
      <c r="D45" s="91">
        <f t="shared" si="5"/>
        <v>39.29004799839293</v>
      </c>
      <c r="E45" s="91">
        <f t="shared" si="6"/>
        <v>-1.754743854418496</v>
      </c>
      <c r="F45" s="5">
        <f ca="1" t="shared" si="2"/>
        <v>5227.481470357606</v>
      </c>
      <c r="G45" s="5">
        <f ca="1" t="shared" si="3"/>
        <v>201673.28437010635</v>
      </c>
      <c r="H45" s="91">
        <f t="shared" si="4"/>
        <v>39.26418413613221</v>
      </c>
      <c r="I45" s="91">
        <f t="shared" si="9"/>
        <v>-1.8194167652997066</v>
      </c>
      <c r="J45" s="91">
        <f t="shared" si="7"/>
        <v>-3.957455048326075</v>
      </c>
      <c r="K45" s="91">
        <f t="shared" si="8"/>
        <v>-1.043341834725358</v>
      </c>
      <c r="L45" s="71"/>
      <c r="M45" s="1"/>
      <c r="N45" s="1"/>
    </row>
    <row r="46" spans="1:14" ht="12.75">
      <c r="A46" s="1"/>
      <c r="B46" s="5">
        <f ca="1" t="shared" si="0"/>
        <v>201761.48278107643</v>
      </c>
      <c r="C46" s="5">
        <f ca="1" t="shared" si="1"/>
        <v>5183.245056569547</v>
      </c>
      <c r="D46" s="91">
        <f t="shared" si="5"/>
        <v>38.92570784886046</v>
      </c>
      <c r="E46" s="91">
        <f t="shared" si="6"/>
        <v>-2.665780952576298</v>
      </c>
      <c r="F46" s="5">
        <f ca="1" t="shared" si="2"/>
        <v>4908.632480994084</v>
      </c>
      <c r="G46" s="5">
        <f ca="1" t="shared" si="3"/>
        <v>195295.8529517605</v>
      </c>
      <c r="H46" s="91">
        <f t="shared" si="4"/>
        <v>38.93903223114584</v>
      </c>
      <c r="I46" s="91">
        <f t="shared" si="9"/>
        <v>-2.6324631681169377</v>
      </c>
      <c r="J46" s="91">
        <f t="shared" si="7"/>
        <v>-3.8779139643721336</v>
      </c>
      <c r="K46" s="91">
        <f t="shared" si="8"/>
        <v>-3.03227658162916</v>
      </c>
      <c r="L46" s="71"/>
      <c r="M46" s="1"/>
      <c r="N46" s="1"/>
    </row>
    <row r="47" spans="1:14" ht="12.75">
      <c r="A47" s="1"/>
      <c r="B47" s="5">
        <f ca="1" t="shared" si="0"/>
        <v>203186.63709975104</v>
      </c>
      <c r="C47" s="5">
        <f ca="1" t="shared" si="1"/>
        <v>5098.3795264665</v>
      </c>
      <c r="D47" s="91">
        <f t="shared" si="5"/>
        <v>39.85318002415804</v>
      </c>
      <c r="E47" s="91">
        <f t="shared" si="6"/>
        <v>-0.34662518484250626</v>
      </c>
      <c r="F47" s="5">
        <f ca="1" t="shared" si="2"/>
        <v>4978.03573043036</v>
      </c>
      <c r="G47" s="5">
        <f ca="1" t="shared" si="3"/>
        <v>191736.41665504707</v>
      </c>
      <c r="H47" s="91">
        <f t="shared" si="4"/>
        <v>39.811221570884456</v>
      </c>
      <c r="I47" s="91">
        <f t="shared" si="9"/>
        <v>-0.4515428217337761</v>
      </c>
      <c r="J47" s="91">
        <f t="shared" si="7"/>
        <v>-4.031472301016741</v>
      </c>
      <c r="K47" s="91">
        <f t="shared" si="8"/>
        <v>0.8074688209613378</v>
      </c>
      <c r="L47" s="71"/>
      <c r="M47" s="1"/>
      <c r="N47" s="1"/>
    </row>
    <row r="48" spans="1:14" ht="12.75">
      <c r="A48" s="1"/>
      <c r="B48" s="5">
        <f ca="1" t="shared" si="0"/>
        <v>203024.78442595023</v>
      </c>
      <c r="C48" s="5">
        <f ca="1" t="shared" si="1"/>
        <v>4963.2095797892935</v>
      </c>
      <c r="D48" s="91">
        <f t="shared" si="5"/>
        <v>40.905946275710036</v>
      </c>
      <c r="E48" s="91">
        <f t="shared" si="6"/>
        <v>2.285829986741398</v>
      </c>
      <c r="F48" s="5">
        <f ca="1" t="shared" si="2"/>
        <v>4959.800839326593</v>
      </c>
      <c r="G48" s="5">
        <f ca="1" t="shared" si="3"/>
        <v>202181.3072572623</v>
      </c>
      <c r="H48" s="91">
        <f t="shared" si="4"/>
        <v>40.89397893162448</v>
      </c>
      <c r="I48" s="91">
        <f t="shared" si="9"/>
        <v>2.2559054932636666</v>
      </c>
      <c r="J48" s="91">
        <f t="shared" si="7"/>
        <v>-4.103758706065115</v>
      </c>
      <c r="K48" s="91">
        <f t="shared" si="8"/>
        <v>2.614999414996552</v>
      </c>
      <c r="L48" s="71"/>
      <c r="M48" s="1" t="s">
        <v>40</v>
      </c>
      <c r="N48" s="1"/>
    </row>
    <row r="49" spans="1:14" ht="12.75">
      <c r="A49" s="1"/>
      <c r="B49" s="5">
        <f ca="1" t="shared" si="0"/>
        <v>195408.52971407093</v>
      </c>
      <c r="C49" s="5">
        <f ca="1" t="shared" si="1"/>
        <v>5049.230310227355</v>
      </c>
      <c r="D49" s="91">
        <f t="shared" si="5"/>
        <v>38.70065687403198</v>
      </c>
      <c r="E49" s="91">
        <f t="shared" si="6"/>
        <v>-3.2285237282721084</v>
      </c>
      <c r="F49" s="5">
        <f ca="1" t="shared" si="2"/>
        <v>5166.385182066978</v>
      </c>
      <c r="G49" s="5">
        <f ca="1" t="shared" si="3"/>
        <v>202943.78189056946</v>
      </c>
      <c r="H49" s="91">
        <f t="shared" si="4"/>
        <v>38.70739492946487</v>
      </c>
      <c r="I49" s="91">
        <f t="shared" si="9"/>
        <v>-3.2116751364364724</v>
      </c>
      <c r="J49" s="91">
        <f t="shared" si="7"/>
        <v>-3.862653826427014</v>
      </c>
      <c r="K49" s="91">
        <f t="shared" si="8"/>
        <v>-3.4138582384641243</v>
      </c>
      <c r="L49" s="71"/>
      <c r="M49" s="1"/>
      <c r="N49" s="1"/>
    </row>
  </sheetData>
  <sheetProtection password="D096" sheet="1" objects="1" scenarios="1"/>
  <printOptions/>
  <pageMargins left="0.46" right="0.6" top="0.63" bottom="0.69" header="0.54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53"/>
  <sheetViews>
    <sheetView workbookViewId="0" topLeftCell="A1">
      <selection activeCell="C27" sqref="C27"/>
    </sheetView>
  </sheetViews>
  <sheetFormatPr defaultColWidth="9.140625" defaultRowHeight="12.75"/>
  <cols>
    <col min="1" max="1" width="8.140625" style="0" customWidth="1"/>
    <col min="2" max="2" width="8.421875" style="0" customWidth="1"/>
    <col min="3" max="3" width="7.140625" style="0" customWidth="1"/>
    <col min="4" max="5" width="7.421875" style="0" customWidth="1"/>
    <col min="6" max="7" width="7.7109375" style="0" bestFit="1" customWidth="1"/>
    <col min="8" max="8" width="8.8515625" style="0" bestFit="1" customWidth="1"/>
    <col min="9" max="9" width="7.7109375" style="0" bestFit="1" customWidth="1"/>
    <col min="10" max="10" width="8.00390625" style="0" bestFit="1" customWidth="1"/>
    <col min="11" max="11" width="7.421875" style="0" customWidth="1"/>
    <col min="12" max="12" width="8.00390625" style="0" customWidth="1"/>
  </cols>
  <sheetData>
    <row r="1" spans="1:12" ht="12.75">
      <c r="A1" s="4"/>
      <c r="B1" s="4"/>
      <c r="C1" s="6"/>
      <c r="D1" s="6"/>
      <c r="E1" s="1"/>
      <c r="F1" s="7"/>
      <c r="G1" s="7"/>
      <c r="H1" s="7"/>
      <c r="I1" s="1"/>
      <c r="J1" s="1"/>
      <c r="K1" s="1"/>
      <c r="L1" s="7"/>
    </row>
    <row r="2" spans="1:12" ht="12.75">
      <c r="A2" s="4"/>
      <c r="B2" s="4"/>
      <c r="C2" s="6"/>
      <c r="D2" s="6"/>
      <c r="E2" s="1"/>
      <c r="F2" s="7"/>
      <c r="G2" s="7"/>
      <c r="H2" s="7"/>
      <c r="I2" s="1"/>
      <c r="J2" s="1"/>
      <c r="K2" s="1"/>
      <c r="L2" s="7"/>
    </row>
    <row r="3" spans="1:12" ht="12.75">
      <c r="A3" s="4"/>
      <c r="B3" s="4"/>
      <c r="C3" s="6"/>
      <c r="D3" s="6"/>
      <c r="E3" s="1"/>
      <c r="F3" s="7"/>
      <c r="G3" s="7"/>
      <c r="H3" s="7"/>
      <c r="I3" s="1"/>
      <c r="J3" s="1"/>
      <c r="K3" s="1"/>
      <c r="L3" s="7"/>
    </row>
    <row r="4" spans="1:12" ht="12.75">
      <c r="A4" s="4"/>
      <c r="B4" s="4"/>
      <c r="C4" s="6"/>
      <c r="D4" s="6"/>
      <c r="E4" s="1"/>
      <c r="F4" s="7"/>
      <c r="G4" s="7"/>
      <c r="H4" s="7"/>
      <c r="I4" s="1"/>
      <c r="J4" s="1"/>
      <c r="K4" s="1"/>
      <c r="L4" s="7"/>
    </row>
    <row r="5" spans="1:12" ht="12.75">
      <c r="A5" s="4"/>
      <c r="B5" s="1"/>
      <c r="C5" s="6"/>
      <c r="D5" s="6"/>
      <c r="E5" s="1"/>
      <c r="F5" s="7"/>
      <c r="G5" s="7"/>
      <c r="H5" s="7"/>
      <c r="I5" s="1"/>
      <c r="J5" s="1"/>
      <c r="K5" s="1"/>
      <c r="L5" s="7"/>
    </row>
    <row r="6" spans="1:12" ht="12.75">
      <c r="A6" s="4"/>
      <c r="B6" s="4"/>
      <c r="D6" s="6"/>
      <c r="E6" s="1"/>
      <c r="F6" s="7"/>
      <c r="G6" s="7"/>
      <c r="H6" s="7"/>
      <c r="I6" s="1"/>
      <c r="J6" s="1"/>
      <c r="K6" s="1"/>
      <c r="L6" s="7"/>
    </row>
    <row r="7" spans="2:12" ht="18.75">
      <c r="B7" s="1"/>
      <c r="C7" s="8" t="s">
        <v>8</v>
      </c>
      <c r="D7" s="6"/>
      <c r="E7" s="1"/>
      <c r="F7" s="7"/>
      <c r="G7" s="7"/>
      <c r="H7" s="7"/>
      <c r="I7" s="1"/>
      <c r="J7" s="1"/>
      <c r="K7" s="1"/>
      <c r="L7" s="7"/>
    </row>
    <row r="8" spans="1:12" ht="12.75">
      <c r="A8" s="1"/>
      <c r="B8" s="1"/>
      <c r="C8" s="1"/>
      <c r="D8" s="1"/>
      <c r="E8" s="1"/>
      <c r="F8" s="7"/>
      <c r="G8" s="7"/>
      <c r="H8" s="7"/>
      <c r="I8" s="1"/>
      <c r="J8" s="1"/>
      <c r="K8" s="1"/>
      <c r="L8" s="7"/>
    </row>
    <row r="9" spans="1:12" ht="12.75">
      <c r="A9" s="101" t="s">
        <v>46</v>
      </c>
      <c r="B9" s="4"/>
      <c r="D9" s="6"/>
      <c r="E9" s="1"/>
      <c r="F9" s="7"/>
      <c r="G9" s="7"/>
      <c r="H9" s="7"/>
      <c r="I9" s="1"/>
      <c r="J9" s="1"/>
      <c r="K9" s="1"/>
      <c r="L9" s="7"/>
    </row>
    <row r="10" spans="1:12" ht="12.75">
      <c r="A10" s="1"/>
      <c r="B10" s="1"/>
      <c r="C10" s="1"/>
      <c r="D10" s="1"/>
      <c r="E10" s="1"/>
      <c r="F10" s="7"/>
      <c r="G10" s="7"/>
      <c r="H10" s="7"/>
      <c r="I10" s="1"/>
      <c r="J10" s="1"/>
      <c r="K10" s="1"/>
      <c r="L10" s="7"/>
    </row>
    <row r="11" spans="1:12" ht="12.75">
      <c r="A11" s="4"/>
      <c r="B11" s="7"/>
      <c r="C11" s="7"/>
      <c r="D11" s="7"/>
      <c r="E11" s="7"/>
      <c r="F11" s="1"/>
      <c r="G11" s="1"/>
      <c r="H11" s="1"/>
      <c r="I11" s="7"/>
      <c r="J11" s="1"/>
      <c r="K11" s="9"/>
      <c r="L11" s="7"/>
    </row>
    <row r="12" spans="1:12" ht="12.75">
      <c r="A12" s="10"/>
      <c r="B12" s="11" t="s">
        <v>74</v>
      </c>
      <c r="C12" s="12"/>
      <c r="D12" s="12"/>
      <c r="E12" s="3"/>
      <c r="F12" s="7"/>
      <c r="G12" s="7"/>
      <c r="H12" s="7"/>
      <c r="I12" s="1"/>
      <c r="J12" s="1"/>
      <c r="K12" s="1"/>
      <c r="L12" s="7"/>
    </row>
    <row r="13" spans="1:12" ht="12.75">
      <c r="A13" s="4"/>
      <c r="B13" s="4"/>
      <c r="C13" s="6"/>
      <c r="D13" s="6"/>
      <c r="E13" s="1"/>
      <c r="F13" s="7"/>
      <c r="G13" s="7"/>
      <c r="H13" s="7"/>
      <c r="I13" s="1"/>
      <c r="J13" s="1"/>
      <c r="K13" s="1"/>
      <c r="L13" s="7"/>
    </row>
    <row r="14" spans="1:12" ht="12.75">
      <c r="A14" s="13"/>
      <c r="B14" s="11" t="s">
        <v>76</v>
      </c>
      <c r="C14" s="6"/>
      <c r="D14" s="6"/>
      <c r="E14" s="1"/>
      <c r="F14" s="7"/>
      <c r="G14" s="7"/>
      <c r="H14" s="7"/>
      <c r="I14" s="1"/>
      <c r="J14" s="1"/>
      <c r="K14" s="6"/>
      <c r="L14" s="14"/>
    </row>
    <row r="15" spans="1:12" ht="12.75">
      <c r="A15" s="4"/>
      <c r="B15" s="15"/>
      <c r="C15" s="16"/>
      <c r="D15" s="16"/>
      <c r="E15" s="17"/>
      <c r="F15" s="18"/>
      <c r="G15" s="18"/>
      <c r="H15" s="18"/>
      <c r="I15" s="17"/>
      <c r="J15" s="1"/>
      <c r="K15" s="1"/>
      <c r="L15" s="19"/>
    </row>
    <row r="16" spans="1:12" ht="14.25" thickBot="1">
      <c r="A16" s="20" t="s">
        <v>9</v>
      </c>
      <c r="B16" s="21" t="s">
        <v>10</v>
      </c>
      <c r="C16" s="22" t="s">
        <v>11</v>
      </c>
      <c r="D16" s="21" t="s">
        <v>0</v>
      </c>
      <c r="E16" s="21" t="s">
        <v>1</v>
      </c>
      <c r="F16" s="21" t="s">
        <v>3</v>
      </c>
      <c r="G16" s="22" t="s">
        <v>2</v>
      </c>
      <c r="H16" s="21" t="s">
        <v>72</v>
      </c>
      <c r="I16" s="17"/>
      <c r="J16" s="1"/>
      <c r="K16" s="23" t="s">
        <v>12</v>
      </c>
      <c r="L16" s="24"/>
    </row>
    <row r="17" spans="1:12" ht="12.75">
      <c r="A17" s="25">
        <v>40</v>
      </c>
      <c r="B17" s="26">
        <v>5</v>
      </c>
      <c r="C17" s="27">
        <v>5</v>
      </c>
      <c r="D17" s="28">
        <v>200000</v>
      </c>
      <c r="E17" s="28">
        <v>5000</v>
      </c>
      <c r="F17" s="28">
        <v>200000</v>
      </c>
      <c r="G17" s="29">
        <v>5000</v>
      </c>
      <c r="H17" s="26">
        <v>90</v>
      </c>
      <c r="I17" s="14"/>
      <c r="J17" s="1"/>
      <c r="K17" s="30" t="s">
        <v>13</v>
      </c>
      <c r="L17" s="30" t="s">
        <v>13</v>
      </c>
    </row>
    <row r="18" spans="1:12" ht="13.5" thickBot="1">
      <c r="A18" s="4"/>
      <c r="B18" s="4"/>
      <c r="C18" s="6"/>
      <c r="D18" s="6"/>
      <c r="E18" s="1"/>
      <c r="F18" s="7"/>
      <c r="G18" s="7"/>
      <c r="H18" s="7"/>
      <c r="I18" s="31"/>
      <c r="J18" s="1"/>
      <c r="K18" s="32" t="s">
        <v>14</v>
      </c>
      <c r="L18" s="33" t="s">
        <v>15</v>
      </c>
    </row>
    <row r="19" spans="1:12" ht="12.75">
      <c r="A19" s="4"/>
      <c r="B19" s="15"/>
      <c r="C19" s="16"/>
      <c r="D19" s="34" t="s">
        <v>16</v>
      </c>
      <c r="E19" s="35"/>
      <c r="F19" s="36"/>
      <c r="G19" s="18"/>
      <c r="H19" s="18"/>
      <c r="I19" s="17"/>
      <c r="J19" s="17"/>
      <c r="K19" s="37">
        <f>MAX($L$26:$L$59)</f>
        <v>0.9625727898861959</v>
      </c>
      <c r="L19" s="37">
        <f>MIN($L$26:$L$59)</f>
        <v>-0.9862011037015144</v>
      </c>
    </row>
    <row r="20" spans="1:12" ht="13.5" thickBot="1">
      <c r="A20" s="20" t="s">
        <v>17</v>
      </c>
      <c r="B20" s="21" t="s">
        <v>18</v>
      </c>
      <c r="C20" s="22" t="s">
        <v>19</v>
      </c>
      <c r="D20" s="21" t="s">
        <v>20</v>
      </c>
      <c r="E20" s="21" t="s">
        <v>21</v>
      </c>
      <c r="F20" s="21" t="s">
        <v>22</v>
      </c>
      <c r="G20" s="21" t="s">
        <v>23</v>
      </c>
      <c r="H20" s="21" t="s">
        <v>24</v>
      </c>
      <c r="I20" s="21" t="s">
        <v>25</v>
      </c>
      <c r="J20" s="1"/>
      <c r="K20" s="17"/>
      <c r="L20" s="14"/>
    </row>
    <row r="21" spans="1:13" ht="12.75">
      <c r="A21" s="38">
        <v>5E-07</v>
      </c>
      <c r="B21" s="28">
        <v>2E-07</v>
      </c>
      <c r="C21" s="28">
        <v>0.005</v>
      </c>
      <c r="D21" s="26">
        <v>30</v>
      </c>
      <c r="E21" s="26">
        <v>30</v>
      </c>
      <c r="F21" s="26">
        <v>50</v>
      </c>
      <c r="G21" s="28">
        <v>3E-09</v>
      </c>
      <c r="H21" s="28">
        <v>1E-09</v>
      </c>
      <c r="I21" s="28">
        <v>0.001</v>
      </c>
      <c r="J21" s="1"/>
      <c r="K21" s="17"/>
      <c r="L21" s="7"/>
      <c r="M21" s="156"/>
    </row>
    <row r="22" spans="1:13" ht="13.5" thickBot="1">
      <c r="A22" s="39"/>
      <c r="B22" s="40" t="s">
        <v>84</v>
      </c>
      <c r="C22" s="41"/>
      <c r="D22" s="42"/>
      <c r="E22" s="17"/>
      <c r="F22" s="18"/>
      <c r="G22" s="18"/>
      <c r="H22" s="18"/>
      <c r="I22" s="17"/>
      <c r="J22" s="17"/>
      <c r="K22" s="17"/>
      <c r="L22" s="18"/>
      <c r="M22" s="156"/>
    </row>
    <row r="23" spans="1:12" ht="12.75">
      <c r="A23" s="43">
        <f>($A$17-25)*$G$21</f>
        <v>4.5E-08</v>
      </c>
      <c r="B23" s="37">
        <f>($A$17-25)*$H$21</f>
        <v>1.5000000000000002E-08</v>
      </c>
      <c r="C23" s="37">
        <f>($A$17-25)*$I$21</f>
        <v>0.015</v>
      </c>
      <c r="D23" s="42"/>
      <c r="E23" s="17"/>
      <c r="F23" s="17"/>
      <c r="G23" s="17"/>
      <c r="H23" s="44" t="s">
        <v>26</v>
      </c>
      <c r="I23" s="30" t="s">
        <v>27</v>
      </c>
      <c r="J23" s="30" t="s">
        <v>28</v>
      </c>
      <c r="K23" s="45" t="s">
        <v>71</v>
      </c>
      <c r="L23" s="30" t="s">
        <v>29</v>
      </c>
    </row>
    <row r="24" spans="1:12" ht="12.75">
      <c r="A24" s="1"/>
      <c r="B24" s="17"/>
      <c r="C24" s="18"/>
      <c r="D24" s="18"/>
      <c r="E24" s="18"/>
      <c r="F24" s="18"/>
      <c r="G24" s="18"/>
      <c r="H24" s="46" t="s">
        <v>13</v>
      </c>
      <c r="I24" s="47" t="s">
        <v>13</v>
      </c>
      <c r="J24" s="47" t="s">
        <v>13</v>
      </c>
      <c r="K24" s="48" t="s">
        <v>13</v>
      </c>
      <c r="L24" s="47" t="s">
        <v>13</v>
      </c>
    </row>
    <row r="25" spans="1:12" ht="13.5" thickBot="1">
      <c r="A25" s="20" t="s">
        <v>4</v>
      </c>
      <c r="B25" s="21" t="s">
        <v>5</v>
      </c>
      <c r="C25" s="22" t="s">
        <v>7</v>
      </c>
      <c r="D25" s="22" t="s">
        <v>6</v>
      </c>
      <c r="E25" s="22" t="s">
        <v>17</v>
      </c>
      <c r="F25" s="22" t="s">
        <v>18</v>
      </c>
      <c r="G25" s="49" t="s">
        <v>19</v>
      </c>
      <c r="H25" s="50" t="s">
        <v>30</v>
      </c>
      <c r="I25" s="32" t="s">
        <v>30</v>
      </c>
      <c r="J25" s="32" t="s">
        <v>30</v>
      </c>
      <c r="K25" s="33" t="s">
        <v>30</v>
      </c>
      <c r="L25" s="32" t="s">
        <v>30</v>
      </c>
    </row>
    <row r="26" spans="1:12" ht="12.75">
      <c r="A26" s="52">
        <f aca="true" ca="1" t="shared" si="0" ref="A26:A47">(1+((1-2*RAND())*$C$17/100))*$D$17</f>
        <v>199734.29666321058</v>
      </c>
      <c r="B26" s="52">
        <f aca="true" ca="1" t="shared" si="1" ref="B26:B47">(1+((1-2*RAND())*$C$17/100))*$E$17</f>
        <v>5011.00692606828</v>
      </c>
      <c r="C26" s="52">
        <f aca="true" ca="1" t="shared" si="2" ref="C26:C47">(1+((1-2*RAND())*$C$17/100))*$F$17</f>
        <v>206300.98939112652</v>
      </c>
      <c r="D26" s="52">
        <f aca="true" ca="1" t="shared" si="3" ref="D26:D47">(1+((1-2*RAND())*$C$17/100))*$G$17</f>
        <v>4944.756756332065</v>
      </c>
      <c r="E26" s="53">
        <f ca="1">(1+((1-2*RAND())*$D$21/100))*($A$21)+$A$23</f>
        <v>5.47811717501954E-07</v>
      </c>
      <c r="F26" s="37">
        <f ca="1">((1+((1-2*RAND())*$E$21/100))*($B$21)+$B$23)*SIGN(1-2*RAND())</f>
        <v>1.895777878953231E-07</v>
      </c>
      <c r="G26" s="37">
        <f ca="1">((1+((1-2*RAND())*$F$21/100))*($C$21)+$C$23)*SIGN(1-2*RAND())</f>
        <v>-0.019888071972638005</v>
      </c>
      <c r="H26" s="54">
        <f>((B26*A26/(A26+B26))-C26*D26/(C26+D26))*E26*(1+A26/B26)</f>
        <v>0.0013285259705648833</v>
      </c>
      <c r="I26" s="54">
        <f>((B26*A26/(A26+B26))+C26*D26/(C26+E26))*F26*(1+A26/B26)/2</f>
        <v>0.03808358767213641</v>
      </c>
      <c r="J26" s="37">
        <f aca="true" t="shared" si="4" ref="J26:J47">G26*(1+A26/B26)</f>
        <v>-0.8126090013286306</v>
      </c>
      <c r="K26" s="37">
        <f aca="true" t="shared" si="5" ref="K26:K47">POWER(10,-$H$17/20)*$B$17*(1+A26/B26)</f>
        <v>0.006460393181623254</v>
      </c>
      <c r="L26" s="37">
        <f aca="true" t="shared" si="6" ref="L26:L44">SUM(H26:K26)</f>
        <v>-0.766736494504306</v>
      </c>
    </row>
    <row r="27" spans="1:12" ht="12.75">
      <c r="A27" s="55">
        <f ca="1" t="shared" si="0"/>
        <v>191864.64116548092</v>
      </c>
      <c r="B27" s="55">
        <f ca="1" t="shared" si="1"/>
        <v>4750.880997813781</v>
      </c>
      <c r="C27" s="52">
        <f ca="1" t="shared" si="2"/>
        <v>198414.34618803096</v>
      </c>
      <c r="D27" s="52">
        <f ca="1" t="shared" si="3"/>
        <v>5076.684316304456</v>
      </c>
      <c r="E27" s="53">
        <f ca="1">(1+((1-2*RAND())*$D$21/100))*($A$21)+$A$23</f>
        <v>5.750274760787841E-07</v>
      </c>
      <c r="F27" s="37">
        <f ca="1">((1+((1-2*RAND())*$E$21/100))*($B$21)+$B$23)*SIGN(1-2*RAND())</f>
        <v>-2.2117254839082433E-07</v>
      </c>
      <c r="G27" s="37">
        <f ca="1">((1+((1-2*RAND())*$F$21/100))*($C$21)+$C$23)*SIGN(1-2*RAND())</f>
        <v>-0.01814982410300845</v>
      </c>
      <c r="H27" s="54">
        <f aca="true" t="shared" si="7" ref="H27:H47">((B27*A27/(A27+B27))-C27*D27/(C27+D27))*E27*(1+A27/B27)</f>
        <v>-0.007471179766830888</v>
      </c>
      <c r="I27" s="54">
        <f aca="true" t="shared" si="8" ref="I27:I47">((B27*A27/(A27+B27))+C27*D27/(C27+E27))*F27*(1+A27/B27)/2</f>
        <v>-0.04445165191695696</v>
      </c>
      <c r="J27" s="53">
        <f t="shared" si="4"/>
        <v>-0.7511316627015278</v>
      </c>
      <c r="K27" s="53">
        <f t="shared" si="5"/>
        <v>0.006543553434251876</v>
      </c>
      <c r="L27" s="53">
        <f t="shared" si="6"/>
        <v>-0.7965109409510638</v>
      </c>
    </row>
    <row r="28" spans="1:12" ht="12.75">
      <c r="A28" s="55">
        <f ca="1" t="shared" si="0"/>
        <v>196719.18359430606</v>
      </c>
      <c r="B28" s="55">
        <f ca="1" t="shared" si="1"/>
        <v>4994.0966951522105</v>
      </c>
      <c r="C28" s="52">
        <f ca="1" t="shared" si="2"/>
        <v>194875.53967998584</v>
      </c>
      <c r="D28" s="52">
        <f ca="1" t="shared" si="3"/>
        <v>5211.216428520294</v>
      </c>
      <c r="E28" s="53">
        <f aca="true" ca="1" t="shared" si="9" ref="E28:E47">(1+((1-2*RAND())*$D$21/100))*($A$21)+$A$23</f>
        <v>5.820178584203422E-07</v>
      </c>
      <c r="F28" s="37">
        <f aca="true" ca="1" t="shared" si="10" ref="F28:F47">((1+((1-2*RAND())*$E$21/100))*($B$21)+$B$23)*SIGN(1-2*RAND())</f>
        <v>-2.2697336003768363E-07</v>
      </c>
      <c r="G28" s="37">
        <f aca="true" ca="1" t="shared" si="11" ref="G28:G47">((1+((1-2*RAND())*$F$21/100))*($C$21)+$C$23)*SIGN(1-2*RAND())</f>
        <v>0.01777683630114017</v>
      </c>
      <c r="H28" s="54">
        <f t="shared" si="7"/>
        <v>-0.004820072610050441</v>
      </c>
      <c r="I28" s="54">
        <f t="shared" si="8"/>
        <v>-0.04621200358364494</v>
      </c>
      <c r="J28" s="53">
        <f t="shared" si="4"/>
        <v>0.7180125220547846</v>
      </c>
      <c r="K28" s="53">
        <f t="shared" si="5"/>
        <v>0.006386274024668184</v>
      </c>
      <c r="L28" s="53">
        <f t="shared" si="6"/>
        <v>0.6733667198857574</v>
      </c>
    </row>
    <row r="29" spans="1:12" ht="12.75">
      <c r="A29" s="55">
        <f ca="1" t="shared" si="0"/>
        <v>202578.3772018301</v>
      </c>
      <c r="B29" s="55">
        <f ca="1" t="shared" si="1"/>
        <v>5114.31321891152</v>
      </c>
      <c r="C29" s="52">
        <f ca="1" t="shared" si="2"/>
        <v>198015.95917332376</v>
      </c>
      <c r="D29" s="52">
        <f ca="1" t="shared" si="3"/>
        <v>4762.712530312102</v>
      </c>
      <c r="E29" s="53">
        <f ca="1" t="shared" si="9"/>
        <v>6.056282464390661E-07</v>
      </c>
      <c r="F29" s="37">
        <f ca="1" t="shared" si="10"/>
        <v>-2.598185226345452E-07</v>
      </c>
      <c r="G29" s="37">
        <f ca="1" t="shared" si="11"/>
        <v>-0.018659501825745797</v>
      </c>
      <c r="H29" s="54">
        <f t="shared" si="7"/>
        <v>0.008301338025528385</v>
      </c>
      <c r="I29" s="54">
        <f t="shared" si="8"/>
        <v>-0.051443097586221675</v>
      </c>
      <c r="J29" s="53">
        <f t="shared" si="4"/>
        <v>-0.7577639401844644</v>
      </c>
      <c r="K29" s="53">
        <f t="shared" si="5"/>
        <v>0.006421018101405612</v>
      </c>
      <c r="L29" s="53">
        <f t="shared" si="6"/>
        <v>-0.7944846816437521</v>
      </c>
    </row>
    <row r="30" spans="1:12" ht="12.75">
      <c r="A30" s="55">
        <f ca="1" t="shared" si="0"/>
        <v>204625.51256006706</v>
      </c>
      <c r="B30" s="55">
        <f ca="1" t="shared" si="1"/>
        <v>4793.220782131555</v>
      </c>
      <c r="C30" s="52">
        <f ca="1" t="shared" si="2"/>
        <v>202932.31241885704</v>
      </c>
      <c r="D30" s="52">
        <f ca="1" t="shared" si="3"/>
        <v>4850.343139875666</v>
      </c>
      <c r="E30" s="53">
        <f ca="1" t="shared" si="9"/>
        <v>5.037295558710462E-07</v>
      </c>
      <c r="F30" s="37">
        <f ca="1" t="shared" si="10"/>
        <v>-2.4939318761483856E-07</v>
      </c>
      <c r="G30" s="37">
        <f ca="1" t="shared" si="11"/>
        <v>-0.020479519917074845</v>
      </c>
      <c r="H30" s="54">
        <f t="shared" si="7"/>
        <v>-0.001179804356049533</v>
      </c>
      <c r="I30" s="54">
        <f t="shared" si="8"/>
        <v>-0.05194111375760068</v>
      </c>
      <c r="J30" s="53">
        <f t="shared" si="4"/>
        <v>-0.8947626899387068</v>
      </c>
      <c r="K30" s="53">
        <f t="shared" si="5"/>
        <v>0.006908091783895391</v>
      </c>
      <c r="L30" s="53">
        <f t="shared" si="6"/>
        <v>-0.9409755162684615</v>
      </c>
    </row>
    <row r="31" spans="1:12" ht="12.75">
      <c r="A31" s="55">
        <f ca="1" t="shared" si="0"/>
        <v>207790.0321299218</v>
      </c>
      <c r="B31" s="55">
        <f ca="1" t="shared" si="1"/>
        <v>4810.487772559133</v>
      </c>
      <c r="C31" s="52">
        <f ca="1" t="shared" si="2"/>
        <v>201679.00796215096</v>
      </c>
      <c r="D31" s="52">
        <f ca="1" t="shared" si="3"/>
        <v>5132.766407115582</v>
      </c>
      <c r="E31" s="53">
        <f ca="1" t="shared" si="9"/>
        <v>4.1020641169891295E-07</v>
      </c>
      <c r="F31" s="37">
        <f ca="1" t="shared" si="10"/>
        <v>1.6180708793438434E-07</v>
      </c>
      <c r="G31" s="37">
        <f ca="1" t="shared" si="11"/>
        <v>0.01918565824908359</v>
      </c>
      <c r="H31" s="54">
        <f t="shared" si="7"/>
        <v>-0.005506500324821259</v>
      </c>
      <c r="I31" s="54">
        <f t="shared" si="8"/>
        <v>0.03516340861044859</v>
      </c>
      <c r="J31" s="53">
        <f t="shared" si="4"/>
        <v>0.8479142056433432</v>
      </c>
      <c r="K31" s="53">
        <f t="shared" si="5"/>
        <v>0.006987876348661201</v>
      </c>
      <c r="L31" s="53">
        <f t="shared" si="6"/>
        <v>0.8845589902776316</v>
      </c>
    </row>
    <row r="32" spans="1:12" ht="12.75">
      <c r="A32" s="55">
        <f ca="1" t="shared" si="0"/>
        <v>198074.6284614186</v>
      </c>
      <c r="B32" s="55">
        <f ca="1" t="shared" si="1"/>
        <v>4938.454080970526</v>
      </c>
      <c r="C32" s="52">
        <f ca="1" t="shared" si="2"/>
        <v>206699.57959205227</v>
      </c>
      <c r="D32" s="52">
        <f ca="1" t="shared" si="3"/>
        <v>4808.6158386388925</v>
      </c>
      <c r="E32" s="53">
        <f ca="1" t="shared" si="9"/>
        <v>4.872375051007988E-07</v>
      </c>
      <c r="F32" s="37">
        <f ca="1" t="shared" si="10"/>
        <v>1.8900593788731005E-07</v>
      </c>
      <c r="G32" s="37">
        <f ca="1" t="shared" si="11"/>
        <v>-0.022393778190612723</v>
      </c>
      <c r="H32" s="54">
        <f t="shared" si="7"/>
        <v>0.002384127038974125</v>
      </c>
      <c r="I32" s="54">
        <f t="shared" si="8"/>
        <v>0.03739957251866643</v>
      </c>
      <c r="J32" s="53">
        <f t="shared" si="4"/>
        <v>-0.9205775462740294</v>
      </c>
      <c r="K32" s="53">
        <f t="shared" si="5"/>
        <v>0.00649984514505752</v>
      </c>
      <c r="L32" s="53">
        <f t="shared" si="6"/>
        <v>-0.8742940015713314</v>
      </c>
    </row>
    <row r="33" spans="1:12" ht="12.75">
      <c r="A33" s="55">
        <f ca="1" t="shared" si="0"/>
        <v>200298.6123621497</v>
      </c>
      <c r="B33" s="55">
        <f ca="1" t="shared" si="1"/>
        <v>5208.951545546182</v>
      </c>
      <c r="C33" s="52">
        <f ca="1" t="shared" si="2"/>
        <v>208445.46867198014</v>
      </c>
      <c r="D33" s="52">
        <f ca="1" t="shared" si="3"/>
        <v>4968.032187921899</v>
      </c>
      <c r="E33" s="53">
        <f ca="1" t="shared" si="9"/>
        <v>6.006162330507521E-07</v>
      </c>
      <c r="F33" s="37">
        <f ca="1" t="shared" si="10"/>
        <v>-1.9112471405039294E-07</v>
      </c>
      <c r="G33" s="37">
        <f ca="1" t="shared" si="11"/>
        <v>0.02033722248836773</v>
      </c>
      <c r="H33" s="54">
        <f t="shared" si="7"/>
        <v>0.005320685313725208</v>
      </c>
      <c r="I33" s="54">
        <f t="shared" si="8"/>
        <v>-0.03787148062652326</v>
      </c>
      <c r="J33" s="53">
        <f t="shared" si="4"/>
        <v>0.8023597481544679</v>
      </c>
      <c r="K33" s="53">
        <f t="shared" si="5"/>
        <v>0.006238030558151307</v>
      </c>
      <c r="L33" s="53">
        <f t="shared" si="6"/>
        <v>0.7760469833998211</v>
      </c>
    </row>
    <row r="34" spans="1:12" ht="12.75">
      <c r="A34" s="55">
        <f ca="1" t="shared" si="0"/>
        <v>207095.13987982308</v>
      </c>
      <c r="B34" s="55">
        <f ca="1" t="shared" si="1"/>
        <v>5072.984730882496</v>
      </c>
      <c r="C34" s="52">
        <f ca="1" t="shared" si="2"/>
        <v>197142.21974249298</v>
      </c>
      <c r="D34" s="52">
        <f ca="1" t="shared" si="3"/>
        <v>5237.838775587572</v>
      </c>
      <c r="E34" s="53">
        <f ca="1" t="shared" si="9"/>
        <v>6.334720121626414E-07</v>
      </c>
      <c r="F34" s="37">
        <f ca="1" t="shared" si="10"/>
        <v>-2.1541621507878808E-07</v>
      </c>
      <c r="G34" s="37">
        <f ca="1" t="shared" si="11"/>
        <v>-0.02229567405718571</v>
      </c>
      <c r="H34" s="54">
        <f t="shared" si="7"/>
        <v>-0.003989662832979892</v>
      </c>
      <c r="I34" s="54">
        <f t="shared" si="8"/>
        <v>-0.04590066926244312</v>
      </c>
      <c r="J34" s="53">
        <f t="shared" si="4"/>
        <v>-0.9324749831883976</v>
      </c>
      <c r="K34" s="53">
        <f t="shared" si="5"/>
        <v>0.006612818254427691</v>
      </c>
      <c r="L34" s="53">
        <f t="shared" si="6"/>
        <v>-0.9757524970293929</v>
      </c>
    </row>
    <row r="35" spans="1:12" ht="12.75">
      <c r="A35" s="55">
        <f ca="1" t="shared" si="0"/>
        <v>194287.4082421119</v>
      </c>
      <c r="B35" s="55">
        <f ca="1" t="shared" si="1"/>
        <v>5100.749704582635</v>
      </c>
      <c r="C35" s="52">
        <f ca="1" t="shared" si="2"/>
        <v>192409.80578104377</v>
      </c>
      <c r="D35" s="52">
        <f ca="1" t="shared" si="3"/>
        <v>4811.900890767833</v>
      </c>
      <c r="E35" s="53">
        <f ca="1" t="shared" si="9"/>
        <v>6.702928559763192E-07</v>
      </c>
      <c r="F35" s="37">
        <f ca="1" t="shared" si="10"/>
        <v>2.6810884949103796E-07</v>
      </c>
      <c r="G35" s="37">
        <f ca="1" t="shared" si="11"/>
        <v>0.0190009561900493</v>
      </c>
      <c r="H35" s="54">
        <f t="shared" si="7"/>
        <v>0.007225499590901183</v>
      </c>
      <c r="I35" s="54">
        <f t="shared" si="8"/>
        <v>0.05126033075233479</v>
      </c>
      <c r="J35" s="53">
        <f t="shared" si="4"/>
        <v>0.7427468261295072</v>
      </c>
      <c r="K35" s="53">
        <f t="shared" si="5"/>
        <v>0.0061806670989019595</v>
      </c>
      <c r="L35" s="53">
        <f t="shared" si="6"/>
        <v>0.8074133235716451</v>
      </c>
    </row>
    <row r="36" spans="1:12" ht="12.75">
      <c r="A36" s="55">
        <f ca="1" t="shared" si="0"/>
        <v>200073.61765926884</v>
      </c>
      <c r="B36" s="55">
        <f ca="1" t="shared" si="1"/>
        <v>5023.379238768098</v>
      </c>
      <c r="C36" s="52">
        <f ca="1" t="shared" si="2"/>
        <v>198772.491679112</v>
      </c>
      <c r="D36" s="52">
        <f ca="1" t="shared" si="3"/>
        <v>5010.3560139705305</v>
      </c>
      <c r="E36" s="53">
        <f ca="1" t="shared" si="9"/>
        <v>4.825627182029736E-07</v>
      </c>
      <c r="F36" s="37">
        <f ca="1" t="shared" si="10"/>
        <v>2.288885452250862E-07</v>
      </c>
      <c r="G36" s="37">
        <f ca="1" t="shared" si="11"/>
        <v>0.022097251097544523</v>
      </c>
      <c r="H36" s="54">
        <f t="shared" si="7"/>
        <v>0.0002595863222772601</v>
      </c>
      <c r="I36" s="54">
        <f t="shared" si="8"/>
        <v>0.04630860411579015</v>
      </c>
      <c r="J36" s="53">
        <f t="shared" si="4"/>
        <v>0.90219743013463</v>
      </c>
      <c r="K36" s="53">
        <f t="shared" si="5"/>
        <v>0.006455551339354351</v>
      </c>
      <c r="L36" s="53">
        <f t="shared" si="6"/>
        <v>0.9552211719120518</v>
      </c>
    </row>
    <row r="37" spans="1:12" ht="12.75">
      <c r="A37" s="55">
        <f ca="1" t="shared" si="0"/>
        <v>208066.84153659942</v>
      </c>
      <c r="B37" s="55">
        <f ca="1" t="shared" si="1"/>
        <v>4975.4920409875185</v>
      </c>
      <c r="C37" s="52">
        <f ca="1" t="shared" si="2"/>
        <v>200224.19094284435</v>
      </c>
      <c r="D37" s="52">
        <f ca="1" t="shared" si="3"/>
        <v>4938.817741853047</v>
      </c>
      <c r="E37" s="53">
        <f ca="1" t="shared" si="9"/>
        <v>4.84017333587807E-07</v>
      </c>
      <c r="F37" s="37">
        <f ca="1" t="shared" si="10"/>
        <v>-1.7958912439252802E-07</v>
      </c>
      <c r="G37" s="37">
        <f ca="1" t="shared" si="11"/>
        <v>-0.02191634676547194</v>
      </c>
      <c r="H37" s="54">
        <f t="shared" si="7"/>
        <v>0.0008158270226036645</v>
      </c>
      <c r="I37" s="54">
        <f t="shared" si="8"/>
        <v>-0.03767230667129469</v>
      </c>
      <c r="J37" s="53">
        <f t="shared" si="4"/>
        <v>-0.9384216917539341</v>
      </c>
      <c r="K37" s="53">
        <f t="shared" si="5"/>
        <v>0.006770174754503563</v>
      </c>
      <c r="L37" s="53">
        <f t="shared" si="6"/>
        <v>-0.9685079966481215</v>
      </c>
    </row>
    <row r="38" spans="1:12" ht="12.75">
      <c r="A38" s="55">
        <f ca="1" t="shared" si="0"/>
        <v>205955.98479172774</v>
      </c>
      <c r="B38" s="55">
        <f ca="1" t="shared" si="1"/>
        <v>4915.920432045596</v>
      </c>
      <c r="C38" s="52">
        <f ca="1" t="shared" si="2"/>
        <v>209500.09955824117</v>
      </c>
      <c r="D38" s="52">
        <f ca="1" t="shared" si="3"/>
        <v>4906.280537169432</v>
      </c>
      <c r="E38" s="53">
        <f ca="1" t="shared" si="9"/>
        <v>5.075983483256214E-07</v>
      </c>
      <c r="F38" s="37">
        <f ca="1" t="shared" si="10"/>
        <v>1.578448207072634E-07</v>
      </c>
      <c r="G38" s="37">
        <f ca="1" t="shared" si="11"/>
        <v>-0.019232766581761644</v>
      </c>
      <c r="H38" s="54">
        <f t="shared" si="7"/>
        <v>0.00015914637536481856</v>
      </c>
      <c r="I38" s="54">
        <f t="shared" si="8"/>
        <v>0.03286442656480252</v>
      </c>
      <c r="J38" s="53">
        <f t="shared" si="4"/>
        <v>-0.8250032090394461</v>
      </c>
      <c r="K38" s="53">
        <f t="shared" si="5"/>
        <v>0.006782407529415606</v>
      </c>
      <c r="L38" s="53">
        <f t="shared" si="6"/>
        <v>-0.7851972285698632</v>
      </c>
    </row>
    <row r="39" spans="1:12" ht="12.75">
      <c r="A39" s="55">
        <f ca="1" t="shared" si="0"/>
        <v>203433.76664390124</v>
      </c>
      <c r="B39" s="55">
        <f ca="1" t="shared" si="1"/>
        <v>4867.650087329814</v>
      </c>
      <c r="C39" s="52">
        <f ca="1" t="shared" si="2"/>
        <v>198795.66975376598</v>
      </c>
      <c r="D39" s="52">
        <f ca="1" t="shared" si="3"/>
        <v>5201.152793394974</v>
      </c>
      <c r="E39" s="53">
        <f ca="1" t="shared" si="9"/>
        <v>5.020529848380925E-07</v>
      </c>
      <c r="F39" s="37">
        <f ca="1" t="shared" si="10"/>
        <v>-1.608947194417221E-07</v>
      </c>
      <c r="G39" s="37">
        <f ca="1" t="shared" si="11"/>
        <v>-0.022245133008793286</v>
      </c>
      <c r="H39" s="54">
        <f t="shared" si="7"/>
        <v>-0.006759872498928091</v>
      </c>
      <c r="I39" s="54">
        <f t="shared" si="8"/>
        <v>-0.03427111980812388</v>
      </c>
      <c r="J39" s="53">
        <f t="shared" si="4"/>
        <v>-0.9519362809515672</v>
      </c>
      <c r="K39" s="53">
        <f t="shared" si="5"/>
        <v>0.00676616955710485</v>
      </c>
      <c r="L39" s="53">
        <f t="shared" si="6"/>
        <v>-0.9862011037015144</v>
      </c>
    </row>
    <row r="40" spans="1:12" ht="12.75">
      <c r="A40" s="55">
        <f ca="1" t="shared" si="0"/>
        <v>198063.2452448118</v>
      </c>
      <c r="B40" s="55">
        <f ca="1" t="shared" si="1"/>
        <v>5219.02629514623</v>
      </c>
      <c r="C40" s="52">
        <f ca="1" t="shared" si="2"/>
        <v>194905.0092966087</v>
      </c>
      <c r="D40" s="52">
        <f ca="1" t="shared" si="3"/>
        <v>4946.744049851068</v>
      </c>
      <c r="E40" s="53">
        <f ca="1" t="shared" si="9"/>
        <v>4.7424326505249235E-07</v>
      </c>
      <c r="F40" s="37">
        <f ca="1" t="shared" si="10"/>
        <v>1.7004239884516891E-07</v>
      </c>
      <c r="G40" s="37">
        <f ca="1" t="shared" si="11"/>
        <v>0.018108436206090615</v>
      </c>
      <c r="H40" s="54">
        <f t="shared" si="7"/>
        <v>0.004816215007075201</v>
      </c>
      <c r="I40" s="54">
        <f t="shared" si="8"/>
        <v>0.03322118863705334</v>
      </c>
      <c r="J40" s="53">
        <f t="shared" si="4"/>
        <v>0.7053277446473145</v>
      </c>
      <c r="K40" s="53">
        <f t="shared" si="5"/>
        <v>0.006158572017513464</v>
      </c>
      <c r="L40" s="53">
        <f t="shared" si="6"/>
        <v>0.7495237203089565</v>
      </c>
    </row>
    <row r="41" spans="1:12" ht="12.75">
      <c r="A41" s="55">
        <f ca="1" t="shared" si="0"/>
        <v>209131.75452146295</v>
      </c>
      <c r="B41" s="55">
        <f ca="1" t="shared" si="1"/>
        <v>4893.629361303639</v>
      </c>
      <c r="C41" s="52">
        <f ca="1" t="shared" si="2"/>
        <v>198734.6152875804</v>
      </c>
      <c r="D41" s="52">
        <f ca="1" t="shared" si="3"/>
        <v>5210.754983178408</v>
      </c>
      <c r="E41" s="53">
        <f ca="1" t="shared" si="9"/>
        <v>4.038687408891523E-07</v>
      </c>
      <c r="F41" s="37">
        <f ca="1" t="shared" si="10"/>
        <v>1.944905953519716E-07</v>
      </c>
      <c r="G41" s="37">
        <f ca="1" t="shared" si="11"/>
        <v>0.019402647865320047</v>
      </c>
      <c r="H41" s="54">
        <f t="shared" si="7"/>
        <v>-0.005226310914619077</v>
      </c>
      <c r="I41" s="54">
        <f t="shared" si="8"/>
        <v>0.042498800259668505</v>
      </c>
      <c r="J41" s="53">
        <f t="shared" si="4"/>
        <v>0.8485847315193926</v>
      </c>
      <c r="K41" s="53">
        <f t="shared" si="5"/>
        <v>0.006915191570425096</v>
      </c>
      <c r="L41" s="53">
        <f t="shared" si="6"/>
        <v>0.8927724124348672</v>
      </c>
    </row>
    <row r="42" spans="1:12" ht="12.75">
      <c r="A42" s="55">
        <f ca="1" t="shared" si="0"/>
        <v>207901.743451799</v>
      </c>
      <c r="B42" s="55">
        <f ca="1" t="shared" si="1"/>
        <v>4993.412402717268</v>
      </c>
      <c r="C42" s="52">
        <f ca="1" t="shared" si="2"/>
        <v>198795.90011808102</v>
      </c>
      <c r="D42" s="52">
        <f ca="1" t="shared" si="3"/>
        <v>4757.712991840067</v>
      </c>
      <c r="E42" s="53">
        <f ca="1" t="shared" si="9"/>
        <v>6.726578308697606E-07</v>
      </c>
      <c r="F42" s="37">
        <f ca="1" t="shared" si="10"/>
        <v>2.4198470807391636E-07</v>
      </c>
      <c r="G42" s="37">
        <f ca="1" t="shared" si="11"/>
        <v>-0.01779764245106366</v>
      </c>
      <c r="H42" s="54">
        <f t="shared" si="7"/>
        <v>0.006589931421043457</v>
      </c>
      <c r="I42" s="54">
        <f t="shared" si="8"/>
        <v>0.049697344068491446</v>
      </c>
      <c r="J42" s="53">
        <f t="shared" si="4"/>
        <v>-0.7588061145120465</v>
      </c>
      <c r="K42" s="53">
        <f t="shared" si="5"/>
        <v>0.006741217638567638</v>
      </c>
      <c r="L42" s="53">
        <f t="shared" si="6"/>
        <v>-0.695777621383944</v>
      </c>
    </row>
    <row r="43" spans="1:12" ht="12.75">
      <c r="A43" s="55">
        <f ca="1" t="shared" si="0"/>
        <v>205195.27704677332</v>
      </c>
      <c r="B43" s="55">
        <f ca="1" t="shared" si="1"/>
        <v>4912.7110829270105</v>
      </c>
      <c r="C43" s="52">
        <f ca="1" t="shared" si="2"/>
        <v>198589.33636056885</v>
      </c>
      <c r="D43" s="52">
        <f ca="1" t="shared" si="3"/>
        <v>5041.146428663345</v>
      </c>
      <c r="E43" s="53">
        <f ca="1" t="shared" si="9"/>
        <v>5.732487788053215E-07</v>
      </c>
      <c r="F43" s="37">
        <f ca="1" t="shared" si="10"/>
        <v>2.2361980359497824E-07</v>
      </c>
      <c r="G43" s="37">
        <f ca="1" t="shared" si="11"/>
        <v>0.020820341983516226</v>
      </c>
      <c r="H43" s="54">
        <f t="shared" si="7"/>
        <v>-0.002905324019029634</v>
      </c>
      <c r="I43" s="54">
        <f t="shared" si="8"/>
        <v>0.04704918385412719</v>
      </c>
      <c r="J43" s="53">
        <f t="shared" si="4"/>
        <v>0.890449304363035</v>
      </c>
      <c r="K43" s="53">
        <f t="shared" si="5"/>
        <v>0.006762251899918465</v>
      </c>
      <c r="L43" s="53">
        <f t="shared" si="6"/>
        <v>0.9413554160980511</v>
      </c>
    </row>
    <row r="44" spans="1:12" ht="12.75">
      <c r="A44" s="55">
        <f ca="1" t="shared" si="0"/>
        <v>207941.625319715</v>
      </c>
      <c r="B44" s="55">
        <f ca="1" t="shared" si="1"/>
        <v>4856.7156301937675</v>
      </c>
      <c r="C44" s="52">
        <f ca="1" t="shared" si="2"/>
        <v>190475.72492099286</v>
      </c>
      <c r="D44" s="52">
        <f ca="1" t="shared" si="3"/>
        <v>4946.697726767429</v>
      </c>
      <c r="E44" s="53">
        <f ca="1" t="shared" si="9"/>
        <v>6.501840564727635E-07</v>
      </c>
      <c r="F44" s="37">
        <f ca="1" t="shared" si="10"/>
        <v>-2.0760628523691794E-07</v>
      </c>
      <c r="G44" s="37">
        <f ca="1" t="shared" si="11"/>
        <v>-0.019369736281276813</v>
      </c>
      <c r="H44" s="54">
        <f t="shared" si="7"/>
        <v>-0.002154044344583865</v>
      </c>
      <c r="I44" s="54">
        <f t="shared" si="8"/>
        <v>-0.0440833840070244</v>
      </c>
      <c r="J44" s="53">
        <f t="shared" si="4"/>
        <v>-0.8486903617884898</v>
      </c>
      <c r="K44" s="53">
        <f t="shared" si="5"/>
        <v>0.006927803591415357</v>
      </c>
      <c r="L44" s="53">
        <f t="shared" si="6"/>
        <v>-0.8879999865486827</v>
      </c>
    </row>
    <row r="45" spans="1:12" ht="12.75">
      <c r="A45" s="55">
        <f ca="1" t="shared" si="0"/>
        <v>200454.8917692485</v>
      </c>
      <c r="B45" s="55">
        <f ca="1" t="shared" si="1"/>
        <v>5204.1662799912665</v>
      </c>
      <c r="C45" s="52">
        <f ca="1" t="shared" si="2"/>
        <v>203265.5257895943</v>
      </c>
      <c r="D45" s="52">
        <f ca="1" t="shared" si="3"/>
        <v>5162.555990136461</v>
      </c>
      <c r="E45" s="53">
        <f ca="1" t="shared" si="9"/>
        <v>5.898758356864756E-07</v>
      </c>
      <c r="F45" s="37">
        <f ca="1" t="shared" si="10"/>
        <v>2.499893706905136E-07</v>
      </c>
      <c r="G45" s="37">
        <f ca="1" t="shared" si="11"/>
        <v>-0.01785163462457845</v>
      </c>
      <c r="H45" s="54">
        <f t="shared" si="7"/>
        <v>0.0008809420996018828</v>
      </c>
      <c r="I45" s="54">
        <f t="shared" si="8"/>
        <v>0.0505565488671676</v>
      </c>
      <c r="J45" s="53">
        <f t="shared" si="4"/>
        <v>-0.7054636927427613</v>
      </c>
      <c r="K45" s="53">
        <f t="shared" si="5"/>
        <v>0.006248369190093148</v>
      </c>
      <c r="L45" s="53">
        <f>SUM(H45:K45)</f>
        <v>-0.6477778325858986</v>
      </c>
    </row>
    <row r="46" spans="1:12" ht="12.75">
      <c r="A46" s="55">
        <f ca="1" t="shared" si="0"/>
        <v>209734.15814941298</v>
      </c>
      <c r="B46" s="55">
        <f ca="1" t="shared" si="1"/>
        <v>4778.774973775963</v>
      </c>
      <c r="C46" s="52">
        <f ca="1" t="shared" si="2"/>
        <v>194940.64538502126</v>
      </c>
      <c r="D46" s="52">
        <f ca="1" t="shared" si="3"/>
        <v>5196.294657344464</v>
      </c>
      <c r="E46" s="53">
        <f ca="1" t="shared" si="9"/>
        <v>4.948355051601135E-07</v>
      </c>
      <c r="F46" s="37">
        <f ca="1" t="shared" si="10"/>
        <v>-2.0297331015928922E-07</v>
      </c>
      <c r="G46" s="37">
        <f ca="1" t="shared" si="11"/>
        <v>0.022479490431600694</v>
      </c>
      <c r="H46" s="54">
        <f t="shared" si="7"/>
        <v>-0.00864206826530738</v>
      </c>
      <c r="I46" s="54">
        <f t="shared" si="8"/>
        <v>-0.044957472007815684</v>
      </c>
      <c r="J46" s="53">
        <f t="shared" si="4"/>
        <v>1.0090748055849754</v>
      </c>
      <c r="K46" s="53">
        <f t="shared" si="5"/>
        <v>0.0070975245743435085</v>
      </c>
      <c r="L46" s="53">
        <f>SUM(H46:K46)</f>
        <v>0.9625727898861959</v>
      </c>
    </row>
    <row r="47" spans="1:12" ht="12.75">
      <c r="A47" s="55">
        <f ca="1" t="shared" si="0"/>
        <v>193042.71241025112</v>
      </c>
      <c r="B47" s="55">
        <f ca="1" t="shared" si="1"/>
        <v>4917.465811150622</v>
      </c>
      <c r="C47" s="52">
        <f ca="1" t="shared" si="2"/>
        <v>208252.0410763198</v>
      </c>
      <c r="D47" s="52">
        <f ca="1" t="shared" si="3"/>
        <v>4976.721763412461</v>
      </c>
      <c r="E47" s="53">
        <f ca="1" t="shared" si="9"/>
        <v>5.068686658716928E-07</v>
      </c>
      <c r="F47" s="37">
        <f ca="1" t="shared" si="10"/>
        <v>2.3290802854242087E-07</v>
      </c>
      <c r="G47" s="37">
        <f ca="1" t="shared" si="11"/>
        <v>0.017573308314078474</v>
      </c>
      <c r="H47" s="54">
        <f t="shared" si="7"/>
        <v>-0.001331480231280993</v>
      </c>
      <c r="I47" s="54">
        <f t="shared" si="8"/>
        <v>0.04581165025111691</v>
      </c>
      <c r="J47" s="53">
        <f t="shared" si="4"/>
        <v>0.7074406573211374</v>
      </c>
      <c r="K47" s="53">
        <f t="shared" si="5"/>
        <v>0.006365118469893459</v>
      </c>
      <c r="L47" s="53">
        <f>SUM(H47:K47)</f>
        <v>0.7582859458108667</v>
      </c>
    </row>
    <row r="48" spans="1:12" ht="12.75">
      <c r="A48" s="56"/>
      <c r="B48" s="57"/>
      <c r="C48" s="56"/>
      <c r="D48" s="56"/>
      <c r="E48" s="42"/>
      <c r="F48" s="42"/>
      <c r="G48" s="42"/>
      <c r="H48" s="58"/>
      <c r="I48" s="58"/>
      <c r="J48" s="42"/>
      <c r="K48" s="42"/>
      <c r="L48" s="14"/>
    </row>
    <row r="49" spans="1:12" ht="12.75">
      <c r="A49" s="59" t="s">
        <v>31</v>
      </c>
      <c r="B49" s="57"/>
      <c r="C49" s="56"/>
      <c r="D49" s="56"/>
      <c r="E49" s="42"/>
      <c r="F49" s="42"/>
      <c r="G49" s="42"/>
      <c r="H49" s="58"/>
      <c r="I49" s="58"/>
      <c r="J49" s="42"/>
      <c r="K49" s="42"/>
      <c r="L49" s="42"/>
    </row>
    <row r="50" spans="1:12" ht="12.75">
      <c r="A50" s="56">
        <v>1</v>
      </c>
      <c r="B50" s="60" t="s">
        <v>32</v>
      </c>
      <c r="C50" s="4"/>
      <c r="D50" s="6"/>
      <c r="E50" s="6"/>
      <c r="F50" s="1"/>
      <c r="G50" s="42"/>
      <c r="H50" s="60"/>
      <c r="I50" s="58"/>
      <c r="J50" s="42"/>
      <c r="K50" s="42"/>
      <c r="L50" s="7"/>
    </row>
    <row r="51" spans="1:12" ht="12.75">
      <c r="A51" s="56"/>
      <c r="B51" s="1"/>
      <c r="C51" s="4"/>
      <c r="D51" s="6"/>
      <c r="E51" s="6"/>
      <c r="F51" s="42"/>
      <c r="G51" s="42"/>
      <c r="H51" s="58"/>
      <c r="I51" s="58"/>
      <c r="J51" s="42"/>
      <c r="K51" s="42"/>
      <c r="L51" s="42"/>
    </row>
    <row r="52" spans="1:12" ht="12.75">
      <c r="A52" s="56"/>
      <c r="B52" s="57"/>
      <c r="C52" s="56"/>
      <c r="D52" s="56"/>
      <c r="E52" s="42"/>
      <c r="F52" s="42"/>
      <c r="G52" s="42"/>
      <c r="H52" s="58"/>
      <c r="I52" s="58"/>
      <c r="J52" s="42"/>
      <c r="K52" s="42"/>
      <c r="L52" s="42"/>
    </row>
    <row r="53" spans="1:12" ht="12.75">
      <c r="A53" s="56"/>
      <c r="B53" s="56"/>
      <c r="C53" s="61"/>
      <c r="D53" s="61" t="s">
        <v>40</v>
      </c>
      <c r="E53" s="61"/>
      <c r="F53" s="61"/>
      <c r="G53" s="61"/>
      <c r="H53" s="62"/>
      <c r="I53" s="62"/>
      <c r="J53" s="61"/>
      <c r="K53" s="61"/>
      <c r="L53" s="61"/>
    </row>
  </sheetData>
  <sheetProtection password="D096" sheet="1" objects="1" scenarios="1"/>
  <printOptions/>
  <pageMargins left="0.6" right="0.46" top="0.7" bottom="0.92" header="0.56" footer="0.66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9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3.57421875" style="0" customWidth="1"/>
    <col min="2" max="2" width="8.57421875" style="0" customWidth="1"/>
    <col min="3" max="3" width="9.00390625" style="0" customWidth="1"/>
    <col min="4" max="4" width="9.00390625" style="0" bestFit="1" customWidth="1"/>
    <col min="5" max="6" width="9.28125" style="0" bestFit="1" customWidth="1"/>
    <col min="7" max="7" width="8.57421875" style="0" customWidth="1"/>
    <col min="9" max="9" width="9.7109375" style="0" customWidth="1"/>
    <col min="10" max="10" width="10.57421875" style="0" bestFit="1" customWidth="1"/>
    <col min="11" max="11" width="9.57421875" style="0" customWidth="1"/>
  </cols>
  <sheetData>
    <row r="1" spans="1:11" ht="12.75">
      <c r="A1" s="80"/>
      <c r="B1" s="80"/>
      <c r="C1" s="80"/>
      <c r="D1" s="56"/>
      <c r="E1" s="80"/>
      <c r="F1" s="80"/>
      <c r="G1" s="102"/>
      <c r="H1" s="102"/>
      <c r="I1" s="102"/>
      <c r="J1" s="102"/>
      <c r="K1" s="80"/>
    </row>
    <row r="2" spans="1:11" ht="12.75">
      <c r="A2" s="80"/>
      <c r="B2" s="80"/>
      <c r="C2" s="80"/>
      <c r="D2" s="56"/>
      <c r="E2" s="80"/>
      <c r="F2" s="80"/>
      <c r="G2" s="102"/>
      <c r="H2" s="102"/>
      <c r="I2" s="102"/>
      <c r="J2" s="102"/>
      <c r="K2" s="80"/>
    </row>
    <row r="3" spans="1:11" ht="12.75">
      <c r="A3" s="80"/>
      <c r="B3" s="80"/>
      <c r="C3" s="80"/>
      <c r="D3" s="56"/>
      <c r="E3" s="80"/>
      <c r="F3" s="80"/>
      <c r="G3" s="102"/>
      <c r="H3" s="102"/>
      <c r="I3" s="102"/>
      <c r="J3" s="102"/>
      <c r="K3" s="80"/>
    </row>
    <row r="4" spans="1:11" ht="12.75">
      <c r="A4" s="80"/>
      <c r="B4" s="80"/>
      <c r="C4" s="80"/>
      <c r="D4" s="56"/>
      <c r="E4" s="80"/>
      <c r="F4" s="80"/>
      <c r="G4" s="102"/>
      <c r="H4" s="102"/>
      <c r="I4" s="102"/>
      <c r="J4" s="102"/>
      <c r="K4" s="80"/>
    </row>
    <row r="5" spans="1:11" ht="12.75">
      <c r="A5" s="80"/>
      <c r="B5" s="80"/>
      <c r="C5" s="80"/>
      <c r="D5" s="56"/>
      <c r="E5" s="80"/>
      <c r="F5" s="80"/>
      <c r="G5" s="102"/>
      <c r="H5" s="102"/>
      <c r="I5" s="102"/>
      <c r="J5" s="102"/>
      <c r="K5" s="80"/>
    </row>
    <row r="6" spans="1:11" ht="15.75">
      <c r="A6" s="1"/>
      <c r="B6" s="1"/>
      <c r="C6" s="1"/>
      <c r="D6" s="104"/>
      <c r="E6" s="2"/>
      <c r="F6" s="1"/>
      <c r="G6" s="64"/>
      <c r="H6" s="64"/>
      <c r="I6" s="64"/>
      <c r="J6" s="64"/>
      <c r="K6" s="1"/>
    </row>
    <row r="7" spans="1:11" ht="18.75">
      <c r="A7" s="1"/>
      <c r="B7" s="1"/>
      <c r="C7" s="2" t="s">
        <v>60</v>
      </c>
      <c r="D7" s="63"/>
      <c r="E7" s="1"/>
      <c r="F7" s="1"/>
      <c r="G7" s="64"/>
      <c r="H7" s="64"/>
      <c r="I7" s="64"/>
      <c r="J7" s="64"/>
      <c r="K7" s="1"/>
    </row>
    <row r="8" spans="1:11" ht="12.75">
      <c r="A8" s="1"/>
      <c r="B8" s="1"/>
      <c r="C8" s="1"/>
      <c r="D8" s="63"/>
      <c r="E8" s="1"/>
      <c r="F8" s="1"/>
      <c r="G8" s="64"/>
      <c r="H8" s="64"/>
      <c r="I8" s="64"/>
      <c r="J8" s="64"/>
      <c r="K8" s="1"/>
    </row>
    <row r="9" spans="1:11" ht="12.75">
      <c r="A9" s="1"/>
      <c r="B9" s="101" t="s">
        <v>33</v>
      </c>
      <c r="C9" s="1"/>
      <c r="D9" s="63"/>
      <c r="E9" s="1"/>
      <c r="F9" s="1"/>
      <c r="G9" s="64"/>
      <c r="H9" s="64"/>
      <c r="I9" s="64"/>
      <c r="J9" s="64"/>
      <c r="K9" s="1"/>
    </row>
    <row r="10" spans="1:11" ht="12.75">
      <c r="A10" s="1"/>
      <c r="B10" s="1"/>
      <c r="C10" s="1"/>
      <c r="D10" s="63"/>
      <c r="E10" s="1"/>
      <c r="F10" s="1"/>
      <c r="G10" s="64"/>
      <c r="H10" s="64"/>
      <c r="I10" s="64"/>
      <c r="J10" s="64"/>
      <c r="K10" s="1"/>
    </row>
    <row r="11" spans="1:11" ht="12.75">
      <c r="A11" s="1"/>
      <c r="B11" s="1"/>
      <c r="C11" s="1"/>
      <c r="D11" s="63"/>
      <c r="E11" s="1"/>
      <c r="F11" s="1"/>
      <c r="G11" s="64"/>
      <c r="H11" s="64"/>
      <c r="I11" s="64"/>
      <c r="J11" s="64"/>
      <c r="K11" s="1"/>
    </row>
    <row r="12" spans="1:11" ht="14.25">
      <c r="A12" s="1"/>
      <c r="B12" s="68"/>
      <c r="C12" s="69" t="s">
        <v>73</v>
      </c>
      <c r="D12" s="136"/>
      <c r="E12" s="66"/>
      <c r="F12" s="1"/>
      <c r="G12" s="64"/>
      <c r="H12" s="64"/>
      <c r="I12" s="64"/>
      <c r="J12" s="64"/>
      <c r="K12" s="1"/>
    </row>
    <row r="13" spans="1:11" ht="12.75">
      <c r="A13" s="1"/>
      <c r="B13" s="1"/>
      <c r="C13" s="1"/>
      <c r="D13" s="63"/>
      <c r="E13" s="1"/>
      <c r="F13" s="1"/>
      <c r="G13" s="64"/>
      <c r="H13" s="64"/>
      <c r="I13" s="64"/>
      <c r="J13" s="64"/>
      <c r="K13" s="1"/>
    </row>
    <row r="14" spans="1:11" ht="12.75">
      <c r="A14" s="1"/>
      <c r="B14" s="70"/>
      <c r="C14" s="105" t="s">
        <v>78</v>
      </c>
      <c r="D14" s="136"/>
      <c r="E14" s="1"/>
      <c r="F14" s="1"/>
      <c r="G14" s="64"/>
      <c r="H14" s="64"/>
      <c r="I14" s="64"/>
      <c r="J14" s="64"/>
      <c r="K14" s="1"/>
    </row>
    <row r="15" spans="1:11" ht="12.75">
      <c r="A15" s="1"/>
      <c r="B15" s="1"/>
      <c r="C15" s="106"/>
      <c r="D15" s="69"/>
      <c r="E15" s="130"/>
      <c r="F15" s="107"/>
      <c r="G15" s="107"/>
      <c r="H15" s="107"/>
      <c r="I15" s="107"/>
      <c r="J15" s="107"/>
      <c r="K15" s="107"/>
    </row>
    <row r="16" spans="1:11" ht="12.75">
      <c r="A16" s="1"/>
      <c r="B16" s="4"/>
      <c r="C16" s="4"/>
      <c r="D16" s="4"/>
      <c r="E16" s="4"/>
      <c r="F16" s="4"/>
      <c r="G16" s="71"/>
      <c r="H16" s="116" t="s">
        <v>82</v>
      </c>
      <c r="I16" s="132" t="s">
        <v>59</v>
      </c>
      <c r="J16" s="86" t="s">
        <v>43</v>
      </c>
      <c r="K16" s="136"/>
    </row>
    <row r="17" spans="1:11" ht="16.5" thickBot="1">
      <c r="A17" s="1"/>
      <c r="B17" s="20" t="s">
        <v>63</v>
      </c>
      <c r="C17" s="20" t="s">
        <v>64</v>
      </c>
      <c r="D17" s="20" t="s">
        <v>49</v>
      </c>
      <c r="E17" s="20" t="s">
        <v>50</v>
      </c>
      <c r="F17" s="20" t="s">
        <v>51</v>
      </c>
      <c r="G17" s="118" t="s">
        <v>52</v>
      </c>
      <c r="H17" s="117" t="s">
        <v>54</v>
      </c>
      <c r="I17" s="123" t="s">
        <v>54</v>
      </c>
      <c r="J17" s="117" t="s">
        <v>54</v>
      </c>
      <c r="K17" s="136"/>
    </row>
    <row r="18" spans="1:11" ht="12.75">
      <c r="A18" s="1"/>
      <c r="B18" s="109">
        <v>200000</v>
      </c>
      <c r="C18" s="109">
        <v>200000</v>
      </c>
      <c r="D18" s="38">
        <v>100000</v>
      </c>
      <c r="E18" s="38">
        <v>100000</v>
      </c>
      <c r="F18" s="119">
        <v>5000</v>
      </c>
      <c r="G18" s="110">
        <v>1</v>
      </c>
      <c r="H18" s="114">
        <f>((G20*((D18+E18)/F18+1)*(C18+1)/C18)-(G18*((D18+E18)/F18+1)*(B18+1)/B18))/(1+(E18/F18+1)/C18+(D18/F18+1)/B18+((D18+E18)/F18+1)/(B18*C18))</f>
        <v>4.099159672267184</v>
      </c>
      <c r="I18" s="114">
        <f>(G20-G18)*((D18+E18)/F18+1)</f>
        <v>4.100000000000003</v>
      </c>
      <c r="J18" s="43">
        <f>($I$18-$H$18)/$H$18*100</f>
        <v>0.020500000000099102</v>
      </c>
      <c r="K18" s="136"/>
    </row>
    <row r="19" spans="1:11" ht="13.5" thickBot="1">
      <c r="A19" s="1"/>
      <c r="B19" s="20" t="s">
        <v>62</v>
      </c>
      <c r="C19" s="20" t="s">
        <v>62</v>
      </c>
      <c r="D19" s="20" t="s">
        <v>35</v>
      </c>
      <c r="E19" s="20" t="s">
        <v>35</v>
      </c>
      <c r="F19" s="20" t="s">
        <v>35</v>
      </c>
      <c r="G19" s="108" t="s">
        <v>53</v>
      </c>
      <c r="H19" s="136"/>
      <c r="I19" s="137" t="s">
        <v>58</v>
      </c>
      <c r="J19" s="136"/>
      <c r="K19" s="136"/>
    </row>
    <row r="20" spans="1:11" ht="12.75">
      <c r="A20" s="1"/>
      <c r="B20" s="25">
        <v>20</v>
      </c>
      <c r="C20" s="25">
        <v>20</v>
      </c>
      <c r="D20" s="25">
        <v>0.1</v>
      </c>
      <c r="E20" s="25">
        <v>0.1</v>
      </c>
      <c r="F20" s="25">
        <v>1</v>
      </c>
      <c r="G20" s="110">
        <v>1.1</v>
      </c>
      <c r="H20" s="136"/>
      <c r="I20" s="163">
        <f>($D$18+$E$18)/$F$18+1</f>
        <v>41</v>
      </c>
      <c r="J20" s="136"/>
      <c r="K20" s="136" t="s">
        <v>40</v>
      </c>
    </row>
    <row r="21" spans="1:11" ht="12.75">
      <c r="A21" s="1"/>
      <c r="B21" s="136"/>
      <c r="C21" s="136"/>
      <c r="D21" s="134"/>
      <c r="E21" s="134"/>
      <c r="F21" s="134"/>
      <c r="G21" s="81"/>
      <c r="H21" s="136"/>
      <c r="I21" s="136"/>
      <c r="J21" s="136"/>
      <c r="K21" s="136"/>
    </row>
    <row r="22" spans="1:11" ht="15.75">
      <c r="A22" s="1"/>
      <c r="B22" s="136"/>
      <c r="C22" s="96" t="s">
        <v>88</v>
      </c>
      <c r="D22" s="158" t="s">
        <v>89</v>
      </c>
      <c r="E22" s="138"/>
      <c r="F22" s="138"/>
      <c r="G22" s="139"/>
      <c r="H22" s="139"/>
      <c r="I22" s="140"/>
      <c r="J22" s="131" t="s">
        <v>65</v>
      </c>
      <c r="K22" s="136"/>
    </row>
    <row r="23" spans="1:11" ht="16.5" thickBot="1">
      <c r="A23" s="1"/>
      <c r="B23" s="136"/>
      <c r="C23" s="141" t="s">
        <v>69</v>
      </c>
      <c r="D23" s="32" t="s">
        <v>70</v>
      </c>
      <c r="E23" s="164" t="s">
        <v>85</v>
      </c>
      <c r="F23" s="164" t="s">
        <v>86</v>
      </c>
      <c r="G23" s="165" t="s">
        <v>91</v>
      </c>
      <c r="H23" s="122" t="s">
        <v>68</v>
      </c>
      <c r="I23" s="122" t="s">
        <v>92</v>
      </c>
      <c r="J23" s="122" t="s">
        <v>87</v>
      </c>
      <c r="K23" s="136"/>
    </row>
    <row r="24" spans="1:12" ht="12.75">
      <c r="A24" s="1"/>
      <c r="B24" s="136"/>
      <c r="C24" s="151">
        <v>100</v>
      </c>
      <c r="D24" s="151">
        <v>90</v>
      </c>
      <c r="E24" s="154">
        <v>6000</v>
      </c>
      <c r="F24" s="154">
        <v>4000</v>
      </c>
      <c r="G24" s="135">
        <v>5E-08</v>
      </c>
      <c r="H24" s="124">
        <v>2E-09</v>
      </c>
      <c r="I24" s="121">
        <v>0.001</v>
      </c>
      <c r="J24" s="43">
        <f>$C$26+$E$26+$H$26+$I$26</f>
        <v>0.04018381277526407</v>
      </c>
      <c r="K24" s="142"/>
      <c r="L24" s="133"/>
    </row>
    <row r="25" spans="1:11" ht="12.75">
      <c r="A25" s="1"/>
      <c r="B25" s="150"/>
      <c r="C25" s="152" t="s">
        <v>81</v>
      </c>
      <c r="D25" s="153"/>
      <c r="E25" s="155" t="s">
        <v>90</v>
      </c>
      <c r="F25" s="167"/>
      <c r="G25" s="143"/>
      <c r="H25" s="166" t="s">
        <v>13</v>
      </c>
      <c r="I25" s="86" t="s">
        <v>13</v>
      </c>
      <c r="J25" s="136"/>
      <c r="K25" s="142"/>
    </row>
    <row r="26" spans="1:11" ht="12.75">
      <c r="A26" s="1"/>
      <c r="B26" s="136"/>
      <c r="C26" s="159">
        <f>($G$18*POWER(10,-C24/20)-$G$20*POWER(10,-D24/20))*(2*E18/F18+1)</f>
        <v>-0.001016187224735937</v>
      </c>
      <c r="D26" s="103"/>
      <c r="E26" s="160"/>
      <c r="F26" s="161">
        <f>(E24-F24)*G24*(2*E18/F18+1)</f>
        <v>0.0040999999999999995</v>
      </c>
      <c r="G26" s="144"/>
      <c r="H26" s="162">
        <f>H24*E18</f>
        <v>0.0002</v>
      </c>
      <c r="I26" s="43">
        <f>I24*(2*E18/F18+1)</f>
        <v>0.041</v>
      </c>
      <c r="J26" s="136"/>
      <c r="K26" s="142" t="s">
        <v>40</v>
      </c>
    </row>
    <row r="27" spans="1:11" ht="12.75">
      <c r="A27" s="1"/>
      <c r="B27" s="56"/>
      <c r="C27" s="56"/>
      <c r="D27" s="4"/>
      <c r="E27" s="1"/>
      <c r="F27" s="1"/>
      <c r="G27" s="64"/>
      <c r="H27" s="64"/>
      <c r="I27" s="136"/>
      <c r="J27" s="136"/>
      <c r="K27" s="136"/>
    </row>
    <row r="28" spans="1:11" ht="15.75">
      <c r="A28" s="1"/>
      <c r="B28" s="145"/>
      <c r="C28" s="138"/>
      <c r="D28" s="126" t="s">
        <v>67</v>
      </c>
      <c r="E28" s="138"/>
      <c r="F28" s="125"/>
      <c r="G28" s="86" t="s">
        <v>82</v>
      </c>
      <c r="H28" s="127" t="s">
        <v>54</v>
      </c>
      <c r="I28" s="146" t="s">
        <v>59</v>
      </c>
      <c r="J28" s="30" t="s">
        <v>83</v>
      </c>
      <c r="K28" s="136"/>
    </row>
    <row r="29" spans="1:11" ht="16.5" thickBot="1">
      <c r="A29" s="4"/>
      <c r="B29" s="128" t="s">
        <v>47</v>
      </c>
      <c r="C29" s="128" t="s">
        <v>48</v>
      </c>
      <c r="D29" s="129" t="s">
        <v>55</v>
      </c>
      <c r="E29" s="129" t="s">
        <v>56</v>
      </c>
      <c r="F29" s="115" t="s">
        <v>57</v>
      </c>
      <c r="G29" s="117" t="s">
        <v>54</v>
      </c>
      <c r="H29" s="157" t="s">
        <v>43</v>
      </c>
      <c r="I29" s="147" t="s">
        <v>58</v>
      </c>
      <c r="J29" s="148" t="s">
        <v>58</v>
      </c>
      <c r="K29" s="112"/>
    </row>
    <row r="30" spans="1:11" ht="12.75">
      <c r="A30" s="4"/>
      <c r="B30" s="51">
        <f ca="1">(1+((1-2*RAND())*$B$20/100))*$B$18</f>
        <v>203621.8957561202</v>
      </c>
      <c r="C30" s="51">
        <f ca="1">(1+((1-2*RAND())*$C$20/100))*$C$18</f>
        <v>180892.01996291173</v>
      </c>
      <c r="D30" s="51">
        <f aca="true" ca="1" t="shared" si="0" ref="D30:D45">(1+((1-2*RAND())*$D$20/100))*$D$18</f>
        <v>99902.60020662386</v>
      </c>
      <c r="E30" s="51">
        <f ca="1">(1+((1-2*RAND())*$E$20/100))*$E$18</f>
        <v>99994.3638529051</v>
      </c>
      <c r="F30" s="51">
        <f aca="true" ca="1" t="shared" si="1" ref="F30:F45">(1+((1-2*RAND())*$F$20/100))*$F$18</f>
        <v>5002.56699044922</v>
      </c>
      <c r="G30" s="114">
        <f>(($G$20*((D30+E30)/F30+1)*(C30+1)/C30)-($G$18*((D30+E30)/F30+1)*(B30+1)/B30))/(1+(E30/F30+1)/$C$30+(D30/F30+1)/$B$30+((D30+E30)/F30+1)/($B$30*$C$30))</f>
        <v>4.0950388400665485</v>
      </c>
      <c r="H30" s="43">
        <f aca="true" t="shared" si="2" ref="H30:H45">(G30-$I$18)/$I$18*100</f>
        <v>-0.12100390081596808</v>
      </c>
      <c r="I30" s="114">
        <f>(D30+E30)/F30+1</f>
        <v>40.95887800026814</v>
      </c>
      <c r="J30" s="114">
        <f>G30/($G$20-$G$18)</f>
        <v>40.950388400665446</v>
      </c>
      <c r="K30" s="113"/>
    </row>
    <row r="31" spans="1:11" ht="12.75">
      <c r="A31" s="4"/>
      <c r="B31" s="51">
        <f aca="true" ca="1" t="shared" si="3" ref="B31:B45">(1+((1-2*RAND())*$B$20/100))*$B$18</f>
        <v>165720.18595282044</v>
      </c>
      <c r="C31" s="51">
        <f aca="true" ca="1" t="shared" si="4" ref="C31:C45">(1+((1-2*RAND())*$C$20/100))*$C$18</f>
        <v>206726.67002809825</v>
      </c>
      <c r="D31" s="51">
        <f ca="1" t="shared" si="0"/>
        <v>100017.50959427116</v>
      </c>
      <c r="E31" s="51">
        <f aca="true" ca="1" t="shared" si="5" ref="E31:E45">(1+((1-2*RAND())*$E$20/100))*$E$18</f>
        <v>99919.45993706421</v>
      </c>
      <c r="F31" s="51">
        <f ca="1" t="shared" si="1"/>
        <v>4986.888253847626</v>
      </c>
      <c r="G31" s="114">
        <f aca="true" t="shared" si="6" ref="G31:G45">(($G$20*((D31+E31)/F31+1)*(C31+1)/C31)-($G$18*((D31+E31)/F31+1)*(B31+1)/B31))/(1+(E31/F31+1)/$C$30+(D31/F31+1)/$B$30+((D31+E31)/F31+1)/($B$30*$C$30))</f>
        <v>4.108321138603852</v>
      </c>
      <c r="H31" s="43">
        <f t="shared" si="2"/>
        <v>0.20295460009387462</v>
      </c>
      <c r="I31" s="114">
        <f aca="true" t="shared" si="7" ref="I31:I45">(D31+E31)/F31+1</f>
        <v>41.0925305228314</v>
      </c>
      <c r="J31" s="114">
        <f aca="true" t="shared" si="8" ref="J31:J45">G31/($G$20-$G$18)</f>
        <v>41.083211386038485</v>
      </c>
      <c r="K31" s="113"/>
    </row>
    <row r="32" spans="1:11" ht="12.75">
      <c r="A32" s="4"/>
      <c r="B32" s="51">
        <f ca="1" t="shared" si="3"/>
        <v>172697.6794621432</v>
      </c>
      <c r="C32" s="51">
        <f ca="1" t="shared" si="4"/>
        <v>216363.87372359863</v>
      </c>
      <c r="D32" s="51">
        <f ca="1" t="shared" si="0"/>
        <v>99915.70058679987</v>
      </c>
      <c r="E32" s="51">
        <f ca="1" t="shared" si="5"/>
        <v>100053.19756138358</v>
      </c>
      <c r="F32" s="51">
        <f ca="1" t="shared" si="1"/>
        <v>5005.492474039524</v>
      </c>
      <c r="G32" s="114">
        <f t="shared" si="6"/>
        <v>4.0940640748608494</v>
      </c>
      <c r="H32" s="43">
        <f t="shared" si="2"/>
        <v>-0.14477866193057923</v>
      </c>
      <c r="I32" s="114">
        <f t="shared" si="7"/>
        <v>40.949894877537375</v>
      </c>
      <c r="J32" s="114">
        <f t="shared" si="8"/>
        <v>40.94064074860846</v>
      </c>
      <c r="K32" s="113"/>
    </row>
    <row r="33" spans="1:11" ht="12.75">
      <c r="A33" s="1"/>
      <c r="B33" s="51">
        <f ca="1" t="shared" si="3"/>
        <v>221470.64315189084</v>
      </c>
      <c r="C33" s="51">
        <f ca="1" t="shared" si="4"/>
        <v>199083.4310969506</v>
      </c>
      <c r="D33" s="51">
        <f ca="1" t="shared" si="0"/>
        <v>99986.00860353846</v>
      </c>
      <c r="E33" s="51">
        <f ca="1" t="shared" si="5"/>
        <v>99948.22995117819</v>
      </c>
      <c r="F33" s="51">
        <f ca="1" t="shared" si="1"/>
        <v>4962.042560532417</v>
      </c>
      <c r="G33" s="114">
        <f t="shared" si="6"/>
        <v>4.12840330900215</v>
      </c>
      <c r="H33" s="43">
        <f t="shared" si="2"/>
        <v>0.6927636341986944</v>
      </c>
      <c r="I33" s="114">
        <f t="shared" si="7"/>
        <v>41.29272947897974</v>
      </c>
      <c r="J33" s="114">
        <f t="shared" si="8"/>
        <v>41.28403309002146</v>
      </c>
      <c r="K33" s="113"/>
    </row>
    <row r="34" spans="1:11" ht="12.75">
      <c r="A34" s="1"/>
      <c r="B34" s="51">
        <f ca="1" t="shared" si="3"/>
        <v>186348.77401501022</v>
      </c>
      <c r="C34" s="51">
        <f ca="1" t="shared" si="4"/>
        <v>164859.3070903182</v>
      </c>
      <c r="D34" s="51">
        <f ca="1" t="shared" si="0"/>
        <v>100050.56164513406</v>
      </c>
      <c r="E34" s="51">
        <f ca="1" t="shared" si="5"/>
        <v>99923.65146158916</v>
      </c>
      <c r="F34" s="51">
        <f ca="1" t="shared" si="1"/>
        <v>4969.36943354382</v>
      </c>
      <c r="G34" s="114">
        <f t="shared" si="6"/>
        <v>4.12328135529858</v>
      </c>
      <c r="H34" s="43">
        <f t="shared" si="2"/>
        <v>0.5678379341116364</v>
      </c>
      <c r="I34" s="114">
        <f t="shared" si="7"/>
        <v>41.24136578715079</v>
      </c>
      <c r="J34" s="114">
        <f t="shared" si="8"/>
        <v>41.23281355298577</v>
      </c>
      <c r="K34" s="113"/>
    </row>
    <row r="35" spans="1:11" ht="12.75">
      <c r="A35" s="1"/>
      <c r="B35" s="51">
        <f ca="1" t="shared" si="3"/>
        <v>215529.6946154214</v>
      </c>
      <c r="C35" s="51">
        <f ca="1" t="shared" si="4"/>
        <v>190171.31003508964</v>
      </c>
      <c r="D35" s="51">
        <f ca="1" t="shared" si="0"/>
        <v>99931.20777048169</v>
      </c>
      <c r="E35" s="51">
        <f ca="1" t="shared" si="5"/>
        <v>99949.24850067389</v>
      </c>
      <c r="F35" s="51">
        <f ca="1" t="shared" si="1"/>
        <v>4963.629859162768</v>
      </c>
      <c r="G35" s="114">
        <f t="shared" si="6"/>
        <v>4.126037821662266</v>
      </c>
      <c r="H35" s="43">
        <f t="shared" si="2"/>
        <v>0.6350688210308094</v>
      </c>
      <c r="I35" s="114">
        <f t="shared" si="7"/>
        <v>41.26900916114443</v>
      </c>
      <c r="J35" s="114">
        <f t="shared" si="8"/>
        <v>41.26037821662263</v>
      </c>
      <c r="K35" s="113" t="s">
        <v>40</v>
      </c>
    </row>
    <row r="36" spans="1:11" ht="12.75">
      <c r="A36" s="1"/>
      <c r="B36" s="51">
        <f ca="1" t="shared" si="3"/>
        <v>230309.47859364553</v>
      </c>
      <c r="C36" s="51">
        <f ca="1" t="shared" si="4"/>
        <v>161214.46040511085</v>
      </c>
      <c r="D36" s="51">
        <f ca="1" t="shared" si="0"/>
        <v>100048.31365368864</v>
      </c>
      <c r="E36" s="51">
        <f ca="1" t="shared" si="5"/>
        <v>100046.12747628425</v>
      </c>
      <c r="F36" s="51">
        <f ca="1" t="shared" si="1"/>
        <v>4987.839593806691</v>
      </c>
      <c r="G36" s="114">
        <f t="shared" si="6"/>
        <v>4.110843792360264</v>
      </c>
      <c r="H36" s="43">
        <f t="shared" si="2"/>
        <v>0.26448274049415715</v>
      </c>
      <c r="I36" s="114">
        <f t="shared" si="7"/>
        <v>41.116454702838986</v>
      </c>
      <c r="J36" s="114">
        <f t="shared" si="8"/>
        <v>41.1084379236026</v>
      </c>
      <c r="K36" s="113"/>
    </row>
    <row r="37" spans="1:11" ht="12.75">
      <c r="A37" s="1"/>
      <c r="B37" s="51">
        <f ca="1" t="shared" si="3"/>
        <v>239730.8045638403</v>
      </c>
      <c r="C37" s="51">
        <f ca="1" t="shared" si="4"/>
        <v>217926.5489221631</v>
      </c>
      <c r="D37" s="51">
        <f ca="1" t="shared" si="0"/>
        <v>99990.61518632149</v>
      </c>
      <c r="E37" s="51">
        <f ca="1" t="shared" si="5"/>
        <v>99989.47946343174</v>
      </c>
      <c r="F37" s="51">
        <f ca="1" t="shared" si="1"/>
        <v>5017.772481507601</v>
      </c>
      <c r="G37" s="114">
        <f t="shared" si="6"/>
        <v>4.084579138675108</v>
      </c>
      <c r="H37" s="43">
        <f t="shared" si="2"/>
        <v>-0.37611856889989287</v>
      </c>
      <c r="I37" s="114">
        <f t="shared" si="7"/>
        <v>40.854356766225635</v>
      </c>
      <c r="J37" s="114">
        <f t="shared" si="8"/>
        <v>40.84579138675104</v>
      </c>
      <c r="K37" s="113"/>
    </row>
    <row r="38" spans="1:11" ht="12.75">
      <c r="A38" s="1"/>
      <c r="B38" s="51">
        <f ca="1" t="shared" si="3"/>
        <v>180345.49966750114</v>
      </c>
      <c r="C38" s="51">
        <f ca="1" t="shared" si="4"/>
        <v>202989.23242639928</v>
      </c>
      <c r="D38" s="51">
        <f ca="1" t="shared" si="0"/>
        <v>99995.80664066374</v>
      </c>
      <c r="E38" s="51">
        <f ca="1" t="shared" si="5"/>
        <v>99974.75255850969</v>
      </c>
      <c r="F38" s="51">
        <f ca="1" t="shared" si="1"/>
        <v>5001.30586185119</v>
      </c>
      <c r="G38" s="114">
        <f t="shared" si="6"/>
        <v>4.097463849849844</v>
      </c>
      <c r="H38" s="43">
        <f t="shared" si="2"/>
        <v>-0.061857320735586946</v>
      </c>
      <c r="I38" s="114">
        <f t="shared" si="7"/>
        <v>40.98366921017625</v>
      </c>
      <c r="J38" s="114">
        <f t="shared" si="8"/>
        <v>40.97463849849841</v>
      </c>
      <c r="K38" s="113"/>
    </row>
    <row r="39" spans="1:11" ht="12.75">
      <c r="A39" s="1"/>
      <c r="B39" s="51">
        <f ca="1" t="shared" si="3"/>
        <v>234865.61743368962</v>
      </c>
      <c r="C39" s="51">
        <f ca="1" t="shared" si="4"/>
        <v>174183.05384150633</v>
      </c>
      <c r="D39" s="51">
        <f ca="1" t="shared" si="0"/>
        <v>100008.22267261035</v>
      </c>
      <c r="E39" s="51">
        <f ca="1" t="shared" si="5"/>
        <v>99912.60230632358</v>
      </c>
      <c r="F39" s="51">
        <f ca="1" t="shared" si="1"/>
        <v>5012.492501936392</v>
      </c>
      <c r="G39" s="114">
        <f t="shared" si="6"/>
        <v>4.087641845446936</v>
      </c>
      <c r="H39" s="43">
        <f t="shared" si="2"/>
        <v>-0.3014184037333437</v>
      </c>
      <c r="I39" s="114">
        <f t="shared" si="7"/>
        <v>40.88451352330241</v>
      </c>
      <c r="J39" s="114">
        <f t="shared" si="8"/>
        <v>40.876418454469324</v>
      </c>
      <c r="K39" s="113"/>
    </row>
    <row r="40" spans="1:11" ht="12.75">
      <c r="A40" s="1"/>
      <c r="B40" s="51">
        <f ca="1" t="shared" si="3"/>
        <v>188557.19328266408</v>
      </c>
      <c r="C40" s="51">
        <f ca="1" t="shared" si="4"/>
        <v>173657.00675626541</v>
      </c>
      <c r="D40" s="51">
        <f ca="1" t="shared" si="0"/>
        <v>99929.26083861374</v>
      </c>
      <c r="E40" s="51">
        <f ca="1" t="shared" si="5"/>
        <v>100028.43062558833</v>
      </c>
      <c r="F40" s="51">
        <f ca="1" t="shared" si="1"/>
        <v>4987.454251497653</v>
      </c>
      <c r="G40" s="114">
        <f t="shared" si="6"/>
        <v>4.108353254044252</v>
      </c>
      <c r="H40" s="43">
        <f t="shared" si="2"/>
        <v>0.2037379035182525</v>
      </c>
      <c r="I40" s="114">
        <f t="shared" si="7"/>
        <v>41.092135462527395</v>
      </c>
      <c r="J40" s="114">
        <f t="shared" si="8"/>
        <v>41.08353254044248</v>
      </c>
      <c r="K40" s="113"/>
    </row>
    <row r="41" spans="1:11" ht="12.75">
      <c r="A41" s="1"/>
      <c r="B41" s="51">
        <f ca="1" t="shared" si="3"/>
        <v>204120.62015023374</v>
      </c>
      <c r="C41" s="51">
        <f ca="1" t="shared" si="4"/>
        <v>190732.2092231087</v>
      </c>
      <c r="D41" s="51">
        <f ca="1" t="shared" si="0"/>
        <v>99928.94070568608</v>
      </c>
      <c r="E41" s="51">
        <f ca="1" t="shared" si="5"/>
        <v>100084.40514294135</v>
      </c>
      <c r="F41" s="51">
        <f ca="1" t="shared" si="1"/>
        <v>4950.321713467216</v>
      </c>
      <c r="G41" s="114">
        <f t="shared" si="6"/>
        <v>4.139530743544465</v>
      </c>
      <c r="H41" s="43">
        <f t="shared" si="2"/>
        <v>0.9641644766941851</v>
      </c>
      <c r="I41" s="114">
        <f t="shared" si="7"/>
        <v>41.40411056608635</v>
      </c>
      <c r="J41" s="114">
        <f t="shared" si="8"/>
        <v>41.395307435444614</v>
      </c>
      <c r="K41" s="113" t="s">
        <v>40</v>
      </c>
    </row>
    <row r="42" spans="1:11" ht="12.75">
      <c r="A42" s="1"/>
      <c r="B42" s="51">
        <f ca="1" t="shared" si="3"/>
        <v>202499.59092172634</v>
      </c>
      <c r="C42" s="51">
        <f ca="1" t="shared" si="4"/>
        <v>194829.38659514528</v>
      </c>
      <c r="D42" s="51">
        <f ca="1" t="shared" si="0"/>
        <v>100055.64197117514</v>
      </c>
      <c r="E42" s="51">
        <f ca="1" t="shared" si="5"/>
        <v>100017.53351095838</v>
      </c>
      <c r="F42" s="51">
        <f ca="1" t="shared" si="1"/>
        <v>4977.172861158054</v>
      </c>
      <c r="G42" s="114">
        <f t="shared" si="6"/>
        <v>4.118937619301617</v>
      </c>
      <c r="H42" s="43">
        <f t="shared" si="2"/>
        <v>0.461893153697896</v>
      </c>
      <c r="I42" s="114">
        <f t="shared" si="7"/>
        <v>41.19815687807594</v>
      </c>
      <c r="J42" s="114">
        <f t="shared" si="8"/>
        <v>41.18937619301613</v>
      </c>
      <c r="K42" s="113"/>
    </row>
    <row r="43" spans="1:11" ht="12.75">
      <c r="A43" s="1"/>
      <c r="B43" s="51">
        <f ca="1" t="shared" si="3"/>
        <v>182962.95315634558</v>
      </c>
      <c r="C43" s="51">
        <f ca="1" t="shared" si="4"/>
        <v>168296.49415672093</v>
      </c>
      <c r="D43" s="51">
        <f ca="1" t="shared" si="0"/>
        <v>99904.12039351436</v>
      </c>
      <c r="E43" s="51">
        <f ca="1" t="shared" si="5"/>
        <v>99924.11930455157</v>
      </c>
      <c r="F43" s="51">
        <f ca="1" t="shared" si="1"/>
        <v>4966.712300510915</v>
      </c>
      <c r="G43" s="114">
        <f t="shared" si="6"/>
        <v>4.122485769418173</v>
      </c>
      <c r="H43" s="43">
        <f t="shared" si="2"/>
        <v>0.5484334004431632</v>
      </c>
      <c r="I43" s="114">
        <f t="shared" si="7"/>
        <v>41.23350409837711</v>
      </c>
      <c r="J43" s="114">
        <f t="shared" si="8"/>
        <v>41.22485769418169</v>
      </c>
      <c r="K43" s="113" t="s">
        <v>40</v>
      </c>
    </row>
    <row r="44" spans="1:11" ht="12.75">
      <c r="A44" s="1"/>
      <c r="B44" s="51">
        <f ca="1" t="shared" si="3"/>
        <v>171251.25285789694</v>
      </c>
      <c r="C44" s="51">
        <f ca="1" t="shared" si="4"/>
        <v>190028.32271793686</v>
      </c>
      <c r="D44" s="51">
        <f ca="1" t="shared" si="0"/>
        <v>100084.33015214147</v>
      </c>
      <c r="E44" s="51">
        <f ca="1" t="shared" si="5"/>
        <v>99964.15878131423</v>
      </c>
      <c r="F44" s="51">
        <f ca="1" t="shared" si="1"/>
        <v>4980.562943498971</v>
      </c>
      <c r="G44" s="114">
        <f t="shared" si="6"/>
        <v>4.115676012390424</v>
      </c>
      <c r="H44" s="43">
        <f t="shared" si="2"/>
        <v>0.3823417656200279</v>
      </c>
      <c r="I44" s="114">
        <f t="shared" si="7"/>
        <v>41.16583892280188</v>
      </c>
      <c r="J44" s="114">
        <f t="shared" si="8"/>
        <v>41.156760123904206</v>
      </c>
      <c r="K44" s="113"/>
    </row>
    <row r="45" spans="1:11" ht="12.75">
      <c r="A45" s="1"/>
      <c r="B45" s="51">
        <f ca="1" t="shared" si="3"/>
        <v>182486.28430709327</v>
      </c>
      <c r="C45" s="51">
        <f ca="1" t="shared" si="4"/>
        <v>235206.12895268376</v>
      </c>
      <c r="D45" s="51">
        <f ca="1" t="shared" si="0"/>
        <v>99940.17617488683</v>
      </c>
      <c r="E45" s="51">
        <f ca="1" t="shared" si="5"/>
        <v>100027.94816357254</v>
      </c>
      <c r="F45" s="51">
        <f ca="1" t="shared" si="1"/>
        <v>5018.324522997779</v>
      </c>
      <c r="G45" s="114">
        <f t="shared" si="6"/>
        <v>4.083833870035635</v>
      </c>
      <c r="H45" s="43">
        <f t="shared" si="2"/>
        <v>-0.39429585278946994</v>
      </c>
      <c r="I45" s="114">
        <f t="shared" si="7"/>
        <v>40.8475872618547</v>
      </c>
      <c r="J45" s="114">
        <f t="shared" si="8"/>
        <v>40.83833870035631</v>
      </c>
      <c r="K45" s="113"/>
    </row>
    <row r="46" spans="1:11" ht="12.75">
      <c r="A46" s="1"/>
      <c r="B46" s="120" t="s">
        <v>61</v>
      </c>
      <c r="C46" s="63"/>
      <c r="D46" s="63"/>
      <c r="E46" s="71"/>
      <c r="F46" s="71"/>
      <c r="G46" s="56"/>
      <c r="H46" s="56"/>
      <c r="I46" s="111"/>
      <c r="J46" s="111"/>
      <c r="K46" s="111"/>
    </row>
    <row r="47" spans="1:11" ht="12.75">
      <c r="A47" s="136"/>
      <c r="B47" s="149">
        <v>1</v>
      </c>
      <c r="C47" s="136" t="s">
        <v>66</v>
      </c>
      <c r="D47" s="136"/>
      <c r="E47" s="136"/>
      <c r="F47" s="136"/>
      <c r="G47" s="136"/>
      <c r="H47" s="136"/>
      <c r="I47" s="136"/>
      <c r="J47" s="150"/>
      <c r="K47" s="136"/>
    </row>
    <row r="48" spans="1:11" ht="12.75">
      <c r="A48" s="136"/>
      <c r="B48" s="136"/>
      <c r="C48" s="136"/>
      <c r="D48" s="136"/>
      <c r="E48" s="136"/>
      <c r="F48" s="136"/>
      <c r="G48" s="136"/>
      <c r="H48" s="136"/>
      <c r="I48" s="136"/>
      <c r="J48" s="150"/>
      <c r="K48" s="136"/>
    </row>
    <row r="49" spans="1:11" ht="12.75">
      <c r="A49" s="136"/>
      <c r="B49" s="136"/>
      <c r="C49" s="136"/>
      <c r="D49" s="136"/>
      <c r="E49" s="136"/>
      <c r="F49" s="136"/>
      <c r="G49" s="136"/>
      <c r="H49" s="136"/>
      <c r="I49" s="136"/>
      <c r="J49" s="150"/>
      <c r="K49" s="136"/>
    </row>
  </sheetData>
  <sheetProtection password="D096" sheet="1" objects="1" scenarios="1"/>
  <printOptions/>
  <pageMargins left="0.49" right="0.51" top="0.65" bottom="0.66" header="0.49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DATAFORTH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AN102-Interactive-Workbook</dc:title>
  <dc:subject/>
  <dc:creator>GWH</dc:creator>
  <cp:keywords/>
  <dc:description/>
  <cp:lastModifiedBy>Default</cp:lastModifiedBy>
  <cp:lastPrinted>2002-05-30T01:13:10Z</cp:lastPrinted>
  <dcterms:created xsi:type="dcterms:W3CDTF">1999-12-26T13:54:58Z</dcterms:created>
  <dcterms:modified xsi:type="dcterms:W3CDTF">2002-05-30T12:56:58Z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